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defaultThemeVersion="124226"/>
  <workbookProtection workbookPassword="CE28" lockStructure="1"/>
  <bookViews>
    <workbookView xWindow="0" yWindow="0" windowWidth="28800" windowHeight="12435" tabRatio="987"/>
  </bookViews>
  <sheets>
    <sheet name="ГЛАВНАЯ" sheetId="13" r:id="rId1"/>
    <sheet name="ЛП лоток перф" sheetId="2" r:id="rId2"/>
    <sheet name="ЛГ лоток глухой" sheetId="1" r:id="rId3"/>
    <sheet name="КЛ Крышка лотка" sheetId="12" r:id="rId4"/>
    <sheet name="Полки,Стойки" sheetId="5" r:id="rId5"/>
    <sheet name="Профиль" sheetId="4" r:id="rId6"/>
    <sheet name="Аксессуары" sheetId="11" r:id="rId7"/>
    <sheet name="Проволчный лоток" sheetId="6" r:id="rId8"/>
    <sheet name="НЛ Лестничный лоток" sheetId="7" r:id="rId9"/>
    <sheet name="Системы подвеса" sheetId="10" r:id="rId10"/>
    <sheet name="Крепеж" sheetId="9" r:id="rId11"/>
  </sheets>
  <definedNames>
    <definedName name="Угол_плоский">Аксессуары!#REF!</definedName>
  </definedNames>
  <calcPr calcId="152511" refMode="R1C1"/>
</workbook>
</file>

<file path=xl/calcChain.xml><?xml version="1.0" encoding="utf-8"?>
<calcChain xmlns="http://schemas.openxmlformats.org/spreadsheetml/2006/main">
  <c r="G8" i="2" l="1"/>
  <c r="C2" i="2" l="1"/>
  <c r="C2" i="7" l="1"/>
  <c r="C2" i="11" l="1"/>
  <c r="C2" i="9" l="1"/>
  <c r="C2" i="10"/>
  <c r="C2" i="5"/>
  <c r="E2" i="12"/>
  <c r="C2" i="1"/>
  <c r="C2" i="4"/>
  <c r="C2" i="6" l="1"/>
  <c r="B29" i="10" l="1"/>
  <c r="B27" i="10"/>
  <c r="B25" i="10"/>
  <c r="B28" i="4"/>
  <c r="B24" i="4"/>
  <c r="B26" i="4"/>
  <c r="B21" i="4"/>
  <c r="B25" i="4"/>
  <c r="B20" i="4"/>
  <c r="B27" i="4"/>
  <c r="B23" i="4"/>
  <c r="B18" i="4"/>
  <c r="B17" i="4"/>
  <c r="B16" i="4"/>
  <c r="B11" i="4"/>
  <c r="B6" i="4"/>
  <c r="B10" i="4"/>
  <c r="B5" i="4"/>
  <c r="B13" i="4"/>
  <c r="B9" i="4"/>
  <c r="B12" i="4"/>
  <c r="B7" i="4"/>
  <c r="B14" i="4"/>
  <c r="D15" i="12"/>
  <c r="D7" i="12"/>
  <c r="D13" i="12"/>
  <c r="D9" i="12"/>
  <c r="D12" i="12"/>
  <c r="D8" i="12"/>
  <c r="D11" i="12"/>
  <c r="D14" i="12"/>
  <c r="D10" i="12"/>
  <c r="D6" i="12"/>
  <c r="B29" i="11"/>
  <c r="B30" i="11"/>
  <c r="B86" i="11"/>
  <c r="B87" i="11"/>
  <c r="E29" i="11"/>
  <c r="E30" i="11"/>
  <c r="E86" i="11"/>
  <c r="E87" i="11"/>
  <c r="D29" i="11"/>
  <c r="D30" i="11"/>
  <c r="D86" i="11"/>
  <c r="D87" i="11"/>
  <c r="C678" i="11"/>
  <c r="B678" i="11" s="1"/>
  <c r="C677" i="11"/>
  <c r="C675" i="11"/>
  <c r="E675" i="11" s="1"/>
  <c r="C676" i="11"/>
  <c r="D676" i="11" s="1"/>
  <c r="C674" i="11"/>
  <c r="B674" i="11" s="1"/>
  <c r="C673" i="11"/>
  <c r="C670" i="11"/>
  <c r="B670" i="11" s="1"/>
  <c r="C671" i="11"/>
  <c r="E671" i="11" s="1"/>
  <c r="C672" i="11"/>
  <c r="D672" i="11" s="1"/>
  <c r="C669" i="11"/>
  <c r="C668" i="11"/>
  <c r="B668" i="11" s="1"/>
  <c r="C667" i="11"/>
  <c r="D667" i="11" s="1"/>
  <c r="C666" i="11"/>
  <c r="E666" i="11" s="1"/>
  <c r="C665" i="11"/>
  <c r="D665" i="11" s="1"/>
  <c r="C664" i="11"/>
  <c r="D664" i="11" s="1"/>
  <c r="C663" i="11"/>
  <c r="D663" i="11" s="1"/>
  <c r="C662" i="11"/>
  <c r="B662" i="11" s="1"/>
  <c r="C661" i="11"/>
  <c r="C660" i="11"/>
  <c r="D660" i="11" s="1"/>
  <c r="C659" i="11"/>
  <c r="B659" i="11" s="1"/>
  <c r="C657" i="11"/>
  <c r="B657" i="11" s="1"/>
  <c r="C656" i="11"/>
  <c r="C655" i="11"/>
  <c r="E655" i="11" s="1"/>
  <c r="C654" i="11"/>
  <c r="C653" i="11"/>
  <c r="E653" i="11" s="1"/>
  <c r="C658" i="11"/>
  <c r="E658" i="11" s="1"/>
  <c r="C652" i="11"/>
  <c r="D652" i="11" s="1"/>
  <c r="C651" i="11"/>
  <c r="D651" i="11" s="1"/>
  <c r="C650" i="11"/>
  <c r="B650" i="11" s="1"/>
  <c r="C649" i="11"/>
  <c r="D649" i="11" s="1"/>
  <c r="C648" i="11"/>
  <c r="D648" i="11" s="1"/>
  <c r="C647" i="11"/>
  <c r="D647" i="11" s="1"/>
  <c r="C646" i="11"/>
  <c r="E646" i="11" s="1"/>
  <c r="C645" i="11"/>
  <c r="C644" i="11"/>
  <c r="D644" i="11" s="1"/>
  <c r="C643" i="11"/>
  <c r="E643" i="11" s="1"/>
  <c r="C642" i="11"/>
  <c r="E642" i="11" s="1"/>
  <c r="C641" i="11"/>
  <c r="C640" i="11"/>
  <c r="D640" i="11" s="1"/>
  <c r="C639" i="11"/>
  <c r="D639" i="11" s="1"/>
  <c r="C638" i="11"/>
  <c r="E638" i="11" s="1"/>
  <c r="C637" i="11"/>
  <c r="C636" i="11"/>
  <c r="D636" i="11" s="1"/>
  <c r="C635" i="11"/>
  <c r="D635" i="11" s="1"/>
  <c r="C634" i="11"/>
  <c r="B634" i="11" s="1"/>
  <c r="C633" i="11"/>
  <c r="D633" i="11" s="1"/>
  <c r="C631" i="11"/>
  <c r="E631" i="11" s="1"/>
  <c r="C630" i="11"/>
  <c r="E630" i="11" s="1"/>
  <c r="C629" i="11"/>
  <c r="B629" i="11" s="1"/>
  <c r="C628" i="11"/>
  <c r="C627" i="11"/>
  <c r="B627" i="11" s="1"/>
  <c r="C626" i="11"/>
  <c r="E626" i="11" s="1"/>
  <c r="C625" i="11"/>
  <c r="B625" i="11" s="1"/>
  <c r="C624" i="11"/>
  <c r="C622" i="11"/>
  <c r="B622" i="11" s="1"/>
  <c r="C621" i="11"/>
  <c r="E621" i="11" s="1"/>
  <c r="C620" i="11"/>
  <c r="E620" i="11" s="1"/>
  <c r="C619" i="11"/>
  <c r="C618" i="11"/>
  <c r="B618" i="11" s="1"/>
  <c r="C617" i="11"/>
  <c r="D617" i="11" s="1"/>
  <c r="C616" i="11"/>
  <c r="B616" i="11" s="1"/>
  <c r="C615" i="11"/>
  <c r="D615" i="11" s="1"/>
  <c r="C614" i="11"/>
  <c r="B614" i="11" s="1"/>
  <c r="C613" i="11"/>
  <c r="D613" i="11" s="1"/>
  <c r="C612" i="11"/>
  <c r="E612" i="11" s="1"/>
  <c r="C611" i="11"/>
  <c r="C610" i="11"/>
  <c r="B610" i="11" s="1"/>
  <c r="C609" i="11"/>
  <c r="E609" i="11" s="1"/>
  <c r="C568" i="11"/>
  <c r="B568" i="11" s="1"/>
  <c r="C567" i="11"/>
  <c r="C566" i="11"/>
  <c r="C565" i="11"/>
  <c r="B565" i="11" s="1"/>
  <c r="C564" i="11"/>
  <c r="B564" i="11" s="1"/>
  <c r="C563" i="11"/>
  <c r="C562" i="11"/>
  <c r="B562" i="11" s="1"/>
  <c r="C561" i="11"/>
  <c r="D561" i="11" s="1"/>
  <c r="C560" i="11"/>
  <c r="B560" i="11" s="1"/>
  <c r="C559" i="11"/>
  <c r="C558" i="11"/>
  <c r="D558" i="11" s="1"/>
  <c r="C557" i="11"/>
  <c r="C556" i="11"/>
  <c r="B556" i="11" s="1"/>
  <c r="C555" i="11"/>
  <c r="B555" i="11" s="1"/>
  <c r="C514" i="11"/>
  <c r="B514" i="11" s="1"/>
  <c r="C513" i="11"/>
  <c r="D513" i="11" s="1"/>
  <c r="C512" i="11"/>
  <c r="B512" i="11" s="1"/>
  <c r="C511" i="11"/>
  <c r="C510" i="11"/>
  <c r="B510" i="11" s="1"/>
  <c r="C509" i="11"/>
  <c r="D509" i="11" s="1"/>
  <c r="C508" i="11"/>
  <c r="B508" i="11" s="1"/>
  <c r="C507" i="11"/>
  <c r="C506" i="11"/>
  <c r="B506" i="11" s="1"/>
  <c r="C505" i="11"/>
  <c r="D505" i="11" s="1"/>
  <c r="C504" i="11"/>
  <c r="B504" i="11" s="1"/>
  <c r="C503" i="11"/>
  <c r="C502" i="11"/>
  <c r="B502" i="11" s="1"/>
  <c r="C501" i="11"/>
  <c r="E501" i="11" s="1"/>
  <c r="C607" i="11"/>
  <c r="B607" i="11" s="1"/>
  <c r="C606" i="11"/>
  <c r="C605" i="11"/>
  <c r="E605" i="11" s="1"/>
  <c r="C604" i="11"/>
  <c r="D604" i="11" s="1"/>
  <c r="C603" i="11"/>
  <c r="E603" i="11" s="1"/>
  <c r="C602" i="11"/>
  <c r="C601" i="11"/>
  <c r="B601" i="11" s="1"/>
  <c r="C600" i="11"/>
  <c r="D600" i="11" s="1"/>
  <c r="C599" i="11"/>
  <c r="E599" i="11" s="1"/>
  <c r="C598" i="11"/>
  <c r="B598" i="11" s="1"/>
  <c r="C597" i="11"/>
  <c r="B597" i="11" s="1"/>
  <c r="C596" i="11"/>
  <c r="D596" i="11" s="1"/>
  <c r="C595" i="11"/>
  <c r="E595" i="11" s="1"/>
  <c r="C594" i="11"/>
  <c r="C593" i="11"/>
  <c r="B593" i="11" s="1"/>
  <c r="C592" i="11"/>
  <c r="D592" i="11" s="1"/>
  <c r="C591" i="11"/>
  <c r="E591" i="11" s="1"/>
  <c r="C590" i="11"/>
  <c r="C589" i="11"/>
  <c r="B589" i="11" s="1"/>
  <c r="C588" i="11"/>
  <c r="E588" i="11" s="1"/>
  <c r="C587" i="11"/>
  <c r="B587" i="11" s="1"/>
  <c r="C586" i="11"/>
  <c r="C585" i="11"/>
  <c r="B585" i="11" s="1"/>
  <c r="C584" i="11"/>
  <c r="B584" i="11" s="1"/>
  <c r="C583" i="11"/>
  <c r="B583" i="11" s="1"/>
  <c r="C582" i="11"/>
  <c r="C581" i="11"/>
  <c r="B581" i="11" s="1"/>
  <c r="C580" i="11"/>
  <c r="D580" i="11" s="1"/>
  <c r="C579" i="11"/>
  <c r="B579" i="11" s="1"/>
  <c r="C578" i="11"/>
  <c r="C577" i="11"/>
  <c r="E577" i="11" s="1"/>
  <c r="C576" i="11"/>
  <c r="D576" i="11" s="1"/>
  <c r="C575" i="11"/>
  <c r="B575" i="11" s="1"/>
  <c r="C574" i="11"/>
  <c r="C573" i="11"/>
  <c r="B573" i="11" s="1"/>
  <c r="C572" i="11"/>
  <c r="D572" i="11" s="1"/>
  <c r="C571" i="11"/>
  <c r="E571" i="11" s="1"/>
  <c r="C570" i="11"/>
  <c r="C553" i="11"/>
  <c r="C552" i="11"/>
  <c r="E552" i="11" s="1"/>
  <c r="C551" i="11"/>
  <c r="B551" i="11" s="1"/>
  <c r="C550" i="11"/>
  <c r="C549" i="11"/>
  <c r="B549" i="11" s="1"/>
  <c r="C548" i="11"/>
  <c r="E548" i="11" s="1"/>
  <c r="C547" i="11"/>
  <c r="B547" i="11" s="1"/>
  <c r="C546" i="11"/>
  <c r="C545" i="11"/>
  <c r="B545" i="11" s="1"/>
  <c r="C544" i="11"/>
  <c r="D544" i="11" s="1"/>
  <c r="C543" i="11"/>
  <c r="B543" i="11" s="1"/>
  <c r="C542" i="11"/>
  <c r="C541" i="11"/>
  <c r="C540" i="11"/>
  <c r="D540" i="11" s="1"/>
  <c r="C539" i="11"/>
  <c r="B539" i="11" s="1"/>
  <c r="C538" i="11"/>
  <c r="D538" i="11" s="1"/>
  <c r="C537" i="11"/>
  <c r="B537" i="11" s="1"/>
  <c r="C536" i="11"/>
  <c r="E536" i="11" s="1"/>
  <c r="C535" i="11"/>
  <c r="B535" i="11" s="1"/>
  <c r="C534" i="11"/>
  <c r="C533" i="11"/>
  <c r="B533" i="11" s="1"/>
  <c r="C532" i="11"/>
  <c r="D532" i="11" s="1"/>
  <c r="C531" i="11"/>
  <c r="B531" i="11" s="1"/>
  <c r="C530" i="11"/>
  <c r="C529" i="11"/>
  <c r="D529" i="11" s="1"/>
  <c r="C528" i="11"/>
  <c r="D528" i="11" s="1"/>
  <c r="C527" i="11"/>
  <c r="B527" i="11" s="1"/>
  <c r="C526" i="11"/>
  <c r="C525" i="11"/>
  <c r="B525" i="11" s="1"/>
  <c r="C524" i="11"/>
  <c r="D524" i="11" s="1"/>
  <c r="C523" i="11"/>
  <c r="B523" i="11" s="1"/>
  <c r="C522" i="11"/>
  <c r="D522" i="11" s="1"/>
  <c r="C521" i="11"/>
  <c r="B521" i="11" s="1"/>
  <c r="C520" i="11"/>
  <c r="B520" i="11" s="1"/>
  <c r="C519" i="11"/>
  <c r="B519" i="11" s="1"/>
  <c r="C518" i="11"/>
  <c r="C517" i="11"/>
  <c r="B517" i="11" s="1"/>
  <c r="C516" i="11"/>
  <c r="D516" i="11" s="1"/>
  <c r="C499" i="11"/>
  <c r="B499" i="11" s="1"/>
  <c r="C498" i="11"/>
  <c r="B498" i="11" s="1"/>
  <c r="C497" i="11"/>
  <c r="B497" i="11" s="1"/>
  <c r="C496" i="11"/>
  <c r="B496" i="11" s="1"/>
  <c r="C495" i="11"/>
  <c r="B495" i="11" s="1"/>
  <c r="C494" i="11"/>
  <c r="B494" i="11" s="1"/>
  <c r="C493" i="11"/>
  <c r="E493" i="11" s="1"/>
  <c r="C492" i="11"/>
  <c r="B492" i="11" s="1"/>
  <c r="C491" i="11"/>
  <c r="B491" i="11" s="1"/>
  <c r="C490" i="11"/>
  <c r="B490" i="11" s="1"/>
  <c r="C489" i="11"/>
  <c r="B489" i="11" s="1"/>
  <c r="C488" i="11"/>
  <c r="B488" i="11" s="1"/>
  <c r="C487" i="11"/>
  <c r="B487" i="11" s="1"/>
  <c r="C486" i="11"/>
  <c r="B486" i="11" s="1"/>
  <c r="C484" i="11"/>
  <c r="B484" i="11" s="1"/>
  <c r="C485" i="11"/>
  <c r="D485" i="11" s="1"/>
  <c r="C483" i="11"/>
  <c r="B483" i="11" s="1"/>
  <c r="C482" i="11"/>
  <c r="B482" i="11" s="1"/>
  <c r="C481" i="11"/>
  <c r="E481" i="11" s="1"/>
  <c r="C480" i="11"/>
  <c r="B480" i="11" s="1"/>
  <c r="C479" i="11"/>
  <c r="B479" i="11" s="1"/>
  <c r="C478" i="11"/>
  <c r="B478" i="11" s="1"/>
  <c r="C477" i="11"/>
  <c r="B477" i="11" s="1"/>
  <c r="C476" i="11"/>
  <c r="B476" i="11" s="1"/>
  <c r="C475" i="11"/>
  <c r="B475" i="11" s="1"/>
  <c r="C474" i="11"/>
  <c r="B474" i="11" s="1"/>
  <c r="C473" i="11"/>
  <c r="B473" i="11" s="1"/>
  <c r="C472" i="11"/>
  <c r="B472" i="11" s="1"/>
  <c r="C471" i="11"/>
  <c r="E471" i="11" s="1"/>
  <c r="C470" i="11"/>
  <c r="B470" i="11" s="1"/>
  <c r="C469" i="11"/>
  <c r="B469" i="11" s="1"/>
  <c r="C468" i="11"/>
  <c r="B468" i="11" s="1"/>
  <c r="C467" i="11"/>
  <c r="B467" i="11" s="1"/>
  <c r="C466" i="11"/>
  <c r="B466" i="11" s="1"/>
  <c r="C465" i="11"/>
  <c r="B465" i="11" s="1"/>
  <c r="C464" i="11"/>
  <c r="B464" i="11" s="1"/>
  <c r="C463" i="11"/>
  <c r="E463" i="11" s="1"/>
  <c r="C462" i="11"/>
  <c r="B462" i="11" s="1"/>
  <c r="B481" i="11" l="1"/>
  <c r="B655" i="11"/>
  <c r="B577" i="11"/>
  <c r="E652" i="11"/>
  <c r="B493" i="11"/>
  <c r="D675" i="11"/>
  <c r="B664" i="11"/>
  <c r="D591" i="11"/>
  <c r="D655" i="11"/>
  <c r="B675" i="11"/>
  <c r="B652" i="11"/>
  <c r="D612" i="11"/>
  <c r="D646" i="11"/>
  <c r="B671" i="11"/>
  <c r="B644" i="11"/>
  <c r="D584" i="11"/>
  <c r="E584" i="11"/>
  <c r="E540" i="11"/>
  <c r="B639" i="11"/>
  <c r="B592" i="11"/>
  <c r="D653" i="11"/>
  <c r="D605" i="11"/>
  <c r="D471" i="11"/>
  <c r="E636" i="11"/>
  <c r="E576" i="11"/>
  <c r="E524" i="11"/>
  <c r="B676" i="11"/>
  <c r="B648" i="11"/>
  <c r="B636" i="11"/>
  <c r="B626" i="11"/>
  <c r="B588" i="11"/>
  <c r="B576" i="11"/>
  <c r="B552" i="11"/>
  <c r="B532" i="11"/>
  <c r="D548" i="11"/>
  <c r="E604" i="11"/>
  <c r="E572" i="11"/>
  <c r="E516" i="11"/>
  <c r="B633" i="11"/>
  <c r="B621" i="11"/>
  <c r="B609" i="11"/>
  <c r="B572" i="11"/>
  <c r="B509" i="11"/>
  <c r="D666" i="11"/>
  <c r="D626" i="11"/>
  <c r="D588" i="11"/>
  <c r="D536" i="11"/>
  <c r="E596" i="11"/>
  <c r="E561" i="11"/>
  <c r="E485" i="11"/>
  <c r="B672" i="11"/>
  <c r="B660" i="11"/>
  <c r="B653" i="11"/>
  <c r="B643" i="11"/>
  <c r="B631" i="11"/>
  <c r="B604" i="11"/>
  <c r="B548" i="11"/>
  <c r="B536" i="11"/>
  <c r="B516" i="11"/>
  <c r="B505" i="11"/>
  <c r="D518" i="11"/>
  <c r="B518" i="11"/>
  <c r="D526" i="11"/>
  <c r="B526" i="11"/>
  <c r="D530" i="11"/>
  <c r="B530" i="11"/>
  <c r="D534" i="11"/>
  <c r="B534" i="11"/>
  <c r="D542" i="11"/>
  <c r="B542" i="11"/>
  <c r="D546" i="11"/>
  <c r="B546" i="11"/>
  <c r="D550" i="11"/>
  <c r="B550" i="11"/>
  <c r="D570" i="11"/>
  <c r="E570" i="11"/>
  <c r="B570" i="11"/>
  <c r="D574" i="11"/>
  <c r="E574" i="11"/>
  <c r="B574" i="11"/>
  <c r="D578" i="11"/>
  <c r="B578" i="11"/>
  <c r="E578" i="11"/>
  <c r="D582" i="11"/>
  <c r="E582" i="11"/>
  <c r="D586" i="11"/>
  <c r="B586" i="11"/>
  <c r="D590" i="11"/>
  <c r="E590" i="11"/>
  <c r="B590" i="11"/>
  <c r="D594" i="11"/>
  <c r="B594" i="11"/>
  <c r="E594" i="11"/>
  <c r="D598" i="11"/>
  <c r="E598" i="11"/>
  <c r="D602" i="11"/>
  <c r="E602" i="11"/>
  <c r="B602" i="11"/>
  <c r="D606" i="11"/>
  <c r="E606" i="11"/>
  <c r="B606" i="11"/>
  <c r="D503" i="11"/>
  <c r="E503" i="11"/>
  <c r="B503" i="11"/>
  <c r="D507" i="11"/>
  <c r="E507" i="11"/>
  <c r="B507" i="11"/>
  <c r="D511" i="11"/>
  <c r="B511" i="11"/>
  <c r="E511" i="11"/>
  <c r="D555" i="11"/>
  <c r="E555" i="11"/>
  <c r="D559" i="11"/>
  <c r="E559" i="11"/>
  <c r="B559" i="11"/>
  <c r="D563" i="11"/>
  <c r="B563" i="11"/>
  <c r="D567" i="11"/>
  <c r="B567" i="11"/>
  <c r="E567" i="11"/>
  <c r="D611" i="11"/>
  <c r="B611" i="11"/>
  <c r="D619" i="11"/>
  <c r="B619" i="11"/>
  <c r="D624" i="11"/>
  <c r="B624" i="11"/>
  <c r="D628" i="11"/>
  <c r="B628" i="11"/>
  <c r="D637" i="11"/>
  <c r="B637" i="11"/>
  <c r="D641" i="11"/>
  <c r="B641" i="11"/>
  <c r="D645" i="11"/>
  <c r="B645" i="11"/>
  <c r="D658" i="11"/>
  <c r="B658" i="11"/>
  <c r="D656" i="11"/>
  <c r="B656" i="11"/>
  <c r="E656" i="11"/>
  <c r="D661" i="11"/>
  <c r="B661" i="11"/>
  <c r="D669" i="11"/>
  <c r="B669" i="11"/>
  <c r="D673" i="11"/>
  <c r="B673" i="11"/>
  <c r="D677" i="11"/>
  <c r="B677" i="11"/>
  <c r="E586" i="11"/>
  <c r="E563" i="11"/>
  <c r="B665" i="11"/>
  <c r="B649" i="11"/>
  <c r="B615" i="11"/>
  <c r="B582" i="11"/>
  <c r="B522" i="11"/>
  <c r="E542" i="11"/>
  <c r="B538" i="11"/>
  <c r="D520" i="11"/>
  <c r="E520" i="11"/>
  <c r="D557" i="11"/>
  <c r="E557" i="11"/>
  <c r="D565" i="11"/>
  <c r="E565" i="11"/>
  <c r="D654" i="11"/>
  <c r="B654" i="11"/>
  <c r="E654" i="11"/>
  <c r="E659" i="11"/>
  <c r="D659" i="11"/>
  <c r="E676" i="11"/>
  <c r="E592" i="11"/>
  <c r="E580" i="11"/>
  <c r="E532" i="11"/>
  <c r="B663" i="11"/>
  <c r="B647" i="11"/>
  <c r="B630" i="11"/>
  <c r="B613" i="11"/>
  <c r="B596" i="11"/>
  <c r="B580" i="11"/>
  <c r="B557" i="11"/>
  <c r="B540" i="11"/>
  <c r="B524" i="11"/>
  <c r="B513" i="11"/>
  <c r="B485" i="11"/>
  <c r="E529" i="11"/>
  <c r="B529" i="11"/>
  <c r="E541" i="11"/>
  <c r="B541" i="11"/>
  <c r="D541" i="11"/>
  <c r="E553" i="11"/>
  <c r="B553" i="11"/>
  <c r="E510" i="11"/>
  <c r="D510" i="11"/>
  <c r="E558" i="11"/>
  <c r="B558" i="11"/>
  <c r="E566" i="11"/>
  <c r="B566" i="11"/>
  <c r="D668" i="11"/>
  <c r="E668" i="11"/>
  <c r="D671" i="11"/>
  <c r="D553" i="11"/>
  <c r="E660" i="11"/>
  <c r="E644" i="11"/>
  <c r="E600" i="11"/>
  <c r="E528" i="11"/>
  <c r="B667" i="11"/>
  <c r="B651" i="11"/>
  <c r="B640" i="11"/>
  <c r="B635" i="11"/>
  <c r="B617" i="11"/>
  <c r="B605" i="11"/>
  <c r="B600" i="11"/>
  <c r="B561" i="11"/>
  <c r="B544" i="11"/>
  <c r="B528" i="11"/>
  <c r="B501" i="11"/>
  <c r="D638" i="11"/>
  <c r="D599" i="11"/>
  <c r="D571" i="11"/>
  <c r="B666" i="11"/>
  <c r="B646" i="11"/>
  <c r="B642" i="11"/>
  <c r="B638" i="11"/>
  <c r="B620" i="11"/>
  <c r="B612" i="11"/>
  <c r="B603" i="11"/>
  <c r="B599" i="11"/>
  <c r="B595" i="11"/>
  <c r="B591" i="11"/>
  <c r="B571" i="11"/>
  <c r="B471" i="11"/>
  <c r="B463" i="11"/>
  <c r="D465" i="11"/>
  <c r="E465" i="11"/>
  <c r="D469" i="11"/>
  <c r="E469" i="11"/>
  <c r="D473" i="11"/>
  <c r="E473" i="11"/>
  <c r="D477" i="11"/>
  <c r="E477" i="11"/>
  <c r="D484" i="11"/>
  <c r="E484" i="11"/>
  <c r="D489" i="11"/>
  <c r="E489" i="11"/>
  <c r="E497" i="11"/>
  <c r="D497" i="11"/>
  <c r="D517" i="11"/>
  <c r="E517" i="11"/>
  <c r="E521" i="11"/>
  <c r="D521" i="11"/>
  <c r="E525" i="11"/>
  <c r="D525" i="11"/>
  <c r="D533" i="11"/>
  <c r="E533" i="11"/>
  <c r="E537" i="11"/>
  <c r="D537" i="11"/>
  <c r="D545" i="11"/>
  <c r="E545" i="11"/>
  <c r="D549" i="11"/>
  <c r="E549" i="11"/>
  <c r="D573" i="11"/>
  <c r="E573" i="11"/>
  <c r="D581" i="11"/>
  <c r="E581" i="11"/>
  <c r="D585" i="11"/>
  <c r="E585" i="11"/>
  <c r="E589" i="11"/>
  <c r="D589" i="11"/>
  <c r="D593" i="11"/>
  <c r="E593" i="11"/>
  <c r="E597" i="11"/>
  <c r="D597" i="11"/>
  <c r="D601" i="11"/>
  <c r="E601" i="11"/>
  <c r="E502" i="11"/>
  <c r="D502" i="11"/>
  <c r="E506" i="11"/>
  <c r="D506" i="11"/>
  <c r="D514" i="11"/>
  <c r="E514" i="11"/>
  <c r="D562" i="11"/>
  <c r="E562" i="11"/>
  <c r="D610" i="11"/>
  <c r="E610" i="11"/>
  <c r="D614" i="11"/>
  <c r="E614" i="11"/>
  <c r="D618" i="11"/>
  <c r="E618" i="11"/>
  <c r="D622" i="11"/>
  <c r="E622" i="11"/>
  <c r="D627" i="11"/>
  <c r="E627" i="11"/>
  <c r="D670" i="11"/>
  <c r="E670" i="11"/>
  <c r="D595" i="11"/>
  <c r="D577" i="11"/>
  <c r="D566" i="11"/>
  <c r="D463" i="11"/>
  <c r="E664" i="11"/>
  <c r="E640" i="11"/>
  <c r="D493" i="11"/>
  <c r="D467" i="11"/>
  <c r="E467" i="11"/>
  <c r="D475" i="11"/>
  <c r="E475" i="11"/>
  <c r="E479" i="11"/>
  <c r="D479" i="11"/>
  <c r="D483" i="11"/>
  <c r="E483" i="11"/>
  <c r="E487" i="11"/>
  <c r="D487" i="11"/>
  <c r="E491" i="11"/>
  <c r="D491" i="11"/>
  <c r="E495" i="11"/>
  <c r="D495" i="11"/>
  <c r="E499" i="11"/>
  <c r="D499" i="11"/>
  <c r="D519" i="11"/>
  <c r="E519" i="11"/>
  <c r="D523" i="11"/>
  <c r="E523" i="11"/>
  <c r="D527" i="11"/>
  <c r="E527" i="11"/>
  <c r="D531" i="11"/>
  <c r="E531" i="11"/>
  <c r="D535" i="11"/>
  <c r="E535" i="11"/>
  <c r="D539" i="11"/>
  <c r="E539" i="11"/>
  <c r="D543" i="11"/>
  <c r="E543" i="11"/>
  <c r="D547" i="11"/>
  <c r="E547" i="11"/>
  <c r="D551" i="11"/>
  <c r="E551" i="11"/>
  <c r="E575" i="11"/>
  <c r="D575" i="11"/>
  <c r="E579" i="11"/>
  <c r="D579" i="11"/>
  <c r="E583" i="11"/>
  <c r="D583" i="11"/>
  <c r="E587" i="11"/>
  <c r="D587" i="11"/>
  <c r="E607" i="11"/>
  <c r="D607" i="11"/>
  <c r="D504" i="11"/>
  <c r="E504" i="11"/>
  <c r="D508" i="11"/>
  <c r="E508" i="11"/>
  <c r="D512" i="11"/>
  <c r="E512" i="11"/>
  <c r="E556" i="11"/>
  <c r="D556" i="11"/>
  <c r="E560" i="11"/>
  <c r="D560" i="11"/>
  <c r="E564" i="11"/>
  <c r="D564" i="11"/>
  <c r="E568" i="11"/>
  <c r="D568" i="11"/>
  <c r="D616" i="11"/>
  <c r="E616" i="11"/>
  <c r="D625" i="11"/>
  <c r="E625" i="11"/>
  <c r="D629" i="11"/>
  <c r="E629" i="11"/>
  <c r="E634" i="11"/>
  <c r="D634" i="11"/>
  <c r="D650" i="11"/>
  <c r="E650" i="11"/>
  <c r="E657" i="11"/>
  <c r="D657" i="11"/>
  <c r="E662" i="11"/>
  <c r="D662" i="11"/>
  <c r="E674" i="11"/>
  <c r="D674" i="11"/>
  <c r="D678" i="11"/>
  <c r="E678" i="11"/>
  <c r="D642" i="11"/>
  <c r="D631" i="11"/>
  <c r="D620" i="11"/>
  <c r="D603" i="11"/>
  <c r="D481" i="11"/>
  <c r="E672" i="11"/>
  <c r="E648" i="11"/>
  <c r="D462" i="11"/>
  <c r="E462" i="11"/>
  <c r="D466" i="11"/>
  <c r="E466" i="11"/>
  <c r="D470" i="11"/>
  <c r="E470" i="11"/>
  <c r="D474" i="11"/>
  <c r="E474" i="11"/>
  <c r="D478" i="11"/>
  <c r="E478" i="11"/>
  <c r="D482" i="11"/>
  <c r="E482" i="11"/>
  <c r="D486" i="11"/>
  <c r="E486" i="11"/>
  <c r="D490" i="11"/>
  <c r="E490" i="11"/>
  <c r="D494" i="11"/>
  <c r="E494" i="11"/>
  <c r="D498" i="11"/>
  <c r="E498" i="11"/>
  <c r="D643" i="11"/>
  <c r="D630" i="11"/>
  <c r="D621" i="11"/>
  <c r="D609" i="11"/>
  <c r="D552" i="11"/>
  <c r="E667" i="11"/>
  <c r="E663" i="11"/>
  <c r="E651" i="11"/>
  <c r="E647" i="11"/>
  <c r="E639" i="11"/>
  <c r="E635" i="11"/>
  <c r="E628" i="11"/>
  <c r="E624" i="11"/>
  <c r="E617" i="11"/>
  <c r="E613" i="11"/>
  <c r="E550" i="11"/>
  <c r="E546" i="11"/>
  <c r="E534" i="11"/>
  <c r="E526" i="11"/>
  <c r="E518" i="11"/>
  <c r="E513" i="11"/>
  <c r="E505" i="11"/>
  <c r="D464" i="11"/>
  <c r="E464" i="11"/>
  <c r="D468" i="11"/>
  <c r="E468" i="11"/>
  <c r="D472" i="11"/>
  <c r="E472" i="11"/>
  <c r="D476" i="11"/>
  <c r="E476" i="11"/>
  <c r="D480" i="11"/>
  <c r="E480" i="11"/>
  <c r="D488" i="11"/>
  <c r="E488" i="11"/>
  <c r="D492" i="11"/>
  <c r="E492" i="11"/>
  <c r="D496" i="11"/>
  <c r="E496" i="11"/>
  <c r="D501" i="11"/>
  <c r="E677" i="11"/>
  <c r="E673" i="11"/>
  <c r="E669" i="11"/>
  <c r="E665" i="11"/>
  <c r="E661" i="11"/>
  <c r="E649" i="11"/>
  <c r="E645" i="11"/>
  <c r="E641" i="11"/>
  <c r="E637" i="11"/>
  <c r="E633" i="11"/>
  <c r="E619" i="11"/>
  <c r="E615" i="11"/>
  <c r="E611" i="11"/>
  <c r="E544" i="11"/>
  <c r="E538" i="11"/>
  <c r="E530" i="11"/>
  <c r="E522" i="11"/>
  <c r="E509" i="11"/>
  <c r="C450" i="11"/>
  <c r="B450" i="11" s="1"/>
  <c r="C449" i="11"/>
  <c r="B449" i="11" s="1"/>
  <c r="C448" i="11"/>
  <c r="B448" i="11" s="1"/>
  <c r="C447" i="11"/>
  <c r="B447" i="11" s="1"/>
  <c r="C446" i="11"/>
  <c r="B446" i="11" s="1"/>
  <c r="C445" i="11"/>
  <c r="B445" i="11" s="1"/>
  <c r="C444" i="11"/>
  <c r="B444" i="11" s="1"/>
  <c r="C443" i="11"/>
  <c r="B443" i="11" s="1"/>
  <c r="C442" i="11"/>
  <c r="B442" i="11" s="1"/>
  <c r="C441" i="11"/>
  <c r="B441" i="11" s="1"/>
  <c r="C440" i="11"/>
  <c r="B440" i="11" s="1"/>
  <c r="C439" i="11"/>
  <c r="B439" i="11" s="1"/>
  <c r="C438" i="11"/>
  <c r="B438" i="11" s="1"/>
  <c r="C437" i="11"/>
  <c r="B437" i="11" s="1"/>
  <c r="C436" i="11"/>
  <c r="B436" i="11" s="1"/>
  <c r="C435" i="11"/>
  <c r="B435" i="11" s="1"/>
  <c r="C434" i="11"/>
  <c r="B434" i="11" s="1"/>
  <c r="C433" i="11"/>
  <c r="B433" i="11" s="1"/>
  <c r="C432" i="11"/>
  <c r="B432" i="11" s="1"/>
  <c r="C431" i="11"/>
  <c r="B431" i="11" s="1"/>
  <c r="C430" i="11"/>
  <c r="B430" i="11" s="1"/>
  <c r="C429" i="11"/>
  <c r="B429" i="11" s="1"/>
  <c r="C428" i="11"/>
  <c r="B428" i="11" s="1"/>
  <c r="C427" i="11"/>
  <c r="B427" i="11" s="1"/>
  <c r="C426" i="11"/>
  <c r="B426" i="11" s="1"/>
  <c r="C425" i="11"/>
  <c r="B425" i="11" s="1"/>
  <c r="C424" i="11"/>
  <c r="B424" i="11" s="1"/>
  <c r="C423" i="11"/>
  <c r="B423" i="11" s="1"/>
  <c r="C422" i="11"/>
  <c r="B422" i="11" s="1"/>
  <c r="C421" i="11"/>
  <c r="B421" i="11" s="1"/>
  <c r="C420" i="11"/>
  <c r="B420" i="11" s="1"/>
  <c r="C419" i="11"/>
  <c r="B419" i="11" s="1"/>
  <c r="C418" i="11"/>
  <c r="B418" i="11" s="1"/>
  <c r="C417" i="11"/>
  <c r="B417" i="11" s="1"/>
  <c r="C416" i="11"/>
  <c r="B416" i="11" s="1"/>
  <c r="C415" i="11"/>
  <c r="B415" i="11" s="1"/>
  <c r="C414" i="11"/>
  <c r="B414" i="11" s="1"/>
  <c r="C413" i="11"/>
  <c r="B413" i="11" s="1"/>
  <c r="C412" i="11"/>
  <c r="B412" i="11" s="1"/>
  <c r="C411" i="11"/>
  <c r="B411" i="11" s="1"/>
  <c r="C410" i="11"/>
  <c r="B410" i="11" s="1"/>
  <c r="C409" i="11"/>
  <c r="B409" i="11" s="1"/>
  <c r="C408" i="11"/>
  <c r="B408" i="11" s="1"/>
  <c r="C407" i="11"/>
  <c r="B407" i="11" s="1"/>
  <c r="C406" i="11"/>
  <c r="B406" i="11" s="1"/>
  <c r="C405" i="11"/>
  <c r="B405" i="11" s="1"/>
  <c r="C457" i="11"/>
  <c r="B457" i="11" s="1"/>
  <c r="C460" i="11"/>
  <c r="B460" i="11" s="1"/>
  <c r="C459" i="11"/>
  <c r="B459" i="11" s="1"/>
  <c r="C458" i="11"/>
  <c r="B458" i="11" s="1"/>
  <c r="C456" i="11"/>
  <c r="B456" i="11" s="1"/>
  <c r="C455" i="11"/>
  <c r="B455" i="11" s="1"/>
  <c r="C453" i="11"/>
  <c r="B453" i="11" s="1"/>
  <c r="C454" i="11"/>
  <c r="B454" i="11" s="1"/>
  <c r="C452" i="11"/>
  <c r="B452" i="11" s="1"/>
  <c r="C403" i="11"/>
  <c r="B403" i="11" s="1"/>
  <c r="C402" i="11"/>
  <c r="B402" i="11" s="1"/>
  <c r="C401" i="11"/>
  <c r="B401" i="11" s="1"/>
  <c r="C400" i="11"/>
  <c r="B400" i="11" s="1"/>
  <c r="C399" i="11"/>
  <c r="B399" i="11" s="1"/>
  <c r="C398" i="11"/>
  <c r="B398" i="11" s="1"/>
  <c r="C397" i="11"/>
  <c r="B397" i="11" s="1"/>
  <c r="C396" i="11"/>
  <c r="B396" i="11" s="1"/>
  <c r="C395" i="11"/>
  <c r="B395" i="11" s="1"/>
  <c r="C393" i="11"/>
  <c r="B393" i="11" s="1"/>
  <c r="C392" i="11"/>
  <c r="B392" i="11" s="1"/>
  <c r="C391" i="11"/>
  <c r="B391" i="11" s="1"/>
  <c r="C390" i="11"/>
  <c r="B390" i="11" s="1"/>
  <c r="C389" i="11"/>
  <c r="B389" i="11" s="1"/>
  <c r="C388" i="11"/>
  <c r="B388" i="11" s="1"/>
  <c r="C387" i="11"/>
  <c r="B387" i="11" s="1"/>
  <c r="C386" i="11"/>
  <c r="B386" i="11" s="1"/>
  <c r="C385" i="11"/>
  <c r="B385" i="11" s="1"/>
  <c r="C384" i="11"/>
  <c r="B384" i="11" s="1"/>
  <c r="C383" i="11"/>
  <c r="B383" i="11" s="1"/>
  <c r="C382" i="11"/>
  <c r="B382" i="11" s="1"/>
  <c r="C381" i="11"/>
  <c r="B381" i="11" s="1"/>
  <c r="C380" i="11"/>
  <c r="B380" i="11" s="1"/>
  <c r="C372" i="11"/>
  <c r="B372" i="11" s="1"/>
  <c r="C371" i="11"/>
  <c r="B371" i="11" s="1"/>
  <c r="C370" i="11"/>
  <c r="B370" i="11" s="1"/>
  <c r="C369" i="11"/>
  <c r="B369" i="11" s="1"/>
  <c r="C368" i="11"/>
  <c r="B368" i="11" s="1"/>
  <c r="C379" i="11"/>
  <c r="B379" i="11" s="1"/>
  <c r="C378" i="11"/>
  <c r="B378" i="11" s="1"/>
  <c r="C377" i="11"/>
  <c r="B377" i="11" s="1"/>
  <c r="C376" i="11"/>
  <c r="B376" i="11" s="1"/>
  <c r="C375" i="11"/>
  <c r="B375" i="11" s="1"/>
  <c r="C374" i="11"/>
  <c r="B374" i="11" s="1"/>
  <c r="C373" i="11"/>
  <c r="B373" i="11" s="1"/>
  <c r="C366" i="11"/>
  <c r="B366" i="11" s="1"/>
  <c r="C367" i="11"/>
  <c r="B367" i="11" s="1"/>
  <c r="C365" i="11"/>
  <c r="B365" i="11" s="1"/>
  <c r="C364" i="11"/>
  <c r="B364" i="11" s="1"/>
  <c r="C363" i="11"/>
  <c r="B363" i="11" s="1"/>
  <c r="C362" i="11"/>
  <c r="B362" i="11" s="1"/>
  <c r="C361" i="11"/>
  <c r="B361" i="11" s="1"/>
  <c r="C360" i="11"/>
  <c r="B360" i="11" s="1"/>
  <c r="C359" i="11"/>
  <c r="B359" i="11" s="1"/>
  <c r="C358" i="11"/>
  <c r="B358" i="11" s="1"/>
  <c r="C357" i="11"/>
  <c r="B357" i="11" s="1"/>
  <c r="C356" i="11"/>
  <c r="B356" i="11" s="1"/>
  <c r="C355" i="11"/>
  <c r="B355" i="11" s="1"/>
  <c r="C354" i="11"/>
  <c r="B354" i="11" s="1"/>
  <c r="C353" i="11"/>
  <c r="B353" i="11" s="1"/>
  <c r="C352" i="11"/>
  <c r="B352" i="11" s="1"/>
  <c r="C351" i="11"/>
  <c r="B351" i="11" s="1"/>
  <c r="C350" i="11"/>
  <c r="B350" i="11" s="1"/>
  <c r="C349" i="11"/>
  <c r="B349" i="11" s="1"/>
  <c r="C348" i="11"/>
  <c r="B348" i="11" s="1"/>
  <c r="C346" i="11"/>
  <c r="B346" i="11" s="1"/>
  <c r="C345" i="11"/>
  <c r="B345" i="11" s="1"/>
  <c r="C344" i="11"/>
  <c r="B344" i="11" s="1"/>
  <c r="C343" i="11"/>
  <c r="B343" i="11" s="1"/>
  <c r="C342" i="11"/>
  <c r="B342" i="11" s="1"/>
  <c r="C341" i="11"/>
  <c r="B341" i="11" s="1"/>
  <c r="C340" i="11"/>
  <c r="B340" i="11" s="1"/>
  <c r="C339" i="11"/>
  <c r="B339" i="11" s="1"/>
  <c r="C338" i="11"/>
  <c r="B338" i="11" s="1"/>
  <c r="C336" i="11"/>
  <c r="B336" i="11" s="1"/>
  <c r="C335" i="11"/>
  <c r="B335" i="11" s="1"/>
  <c r="C334" i="11"/>
  <c r="B334" i="11" s="1"/>
  <c r="C333" i="11"/>
  <c r="B333" i="11" s="1"/>
  <c r="C332" i="11"/>
  <c r="B332" i="11" s="1"/>
  <c r="C331" i="11"/>
  <c r="B331" i="11" s="1"/>
  <c r="C330" i="11"/>
  <c r="B330" i="11" s="1"/>
  <c r="C329" i="11"/>
  <c r="B329" i="11" s="1"/>
  <c r="C328" i="11"/>
  <c r="B328" i="11" s="1"/>
  <c r="C327" i="11"/>
  <c r="B327" i="11" s="1"/>
  <c r="C326" i="11"/>
  <c r="B326" i="11" s="1"/>
  <c r="C325" i="11"/>
  <c r="B325" i="11" s="1"/>
  <c r="C324" i="11"/>
  <c r="B324" i="11" s="1"/>
  <c r="C323" i="11"/>
  <c r="B323" i="11" s="1"/>
  <c r="C322" i="11"/>
  <c r="B322" i="11" s="1"/>
  <c r="C321" i="11"/>
  <c r="B321" i="11" s="1"/>
  <c r="C320" i="11"/>
  <c r="B320" i="11" s="1"/>
  <c r="C319" i="11"/>
  <c r="B319" i="11" s="1"/>
  <c r="C318" i="11"/>
  <c r="B318" i="11" s="1"/>
  <c r="C317" i="11"/>
  <c r="B317" i="11" s="1"/>
  <c r="C316" i="11"/>
  <c r="B316" i="11" s="1"/>
  <c r="C315" i="11"/>
  <c r="B315" i="11" s="1"/>
  <c r="C314" i="11"/>
  <c r="B314" i="11" s="1"/>
  <c r="C313" i="11"/>
  <c r="B313" i="11" s="1"/>
  <c r="C312" i="11"/>
  <c r="B312" i="11" s="1"/>
  <c r="C311" i="11"/>
  <c r="B311" i="11" s="1"/>
  <c r="C310" i="11"/>
  <c r="B310" i="11" s="1"/>
  <c r="C309" i="11"/>
  <c r="B309" i="11" s="1"/>
  <c r="C308" i="11"/>
  <c r="B308" i="11" s="1"/>
  <c r="C307" i="11"/>
  <c r="B307" i="11" s="1"/>
  <c r="C306" i="11"/>
  <c r="B306" i="11" s="1"/>
  <c r="C305" i="11"/>
  <c r="B305" i="11" s="1"/>
  <c r="C304" i="11"/>
  <c r="B304" i="11" s="1"/>
  <c r="C303" i="11"/>
  <c r="B303" i="11" s="1"/>
  <c r="C302" i="11"/>
  <c r="B302" i="11" s="1"/>
  <c r="C301" i="11"/>
  <c r="B301" i="11" s="1"/>
  <c r="C300" i="11"/>
  <c r="B300" i="11" s="1"/>
  <c r="C299" i="11"/>
  <c r="B299" i="11" s="1"/>
  <c r="C298" i="11"/>
  <c r="B298" i="11" s="1"/>
  <c r="C297" i="11"/>
  <c r="B297" i="11" s="1"/>
  <c r="C296" i="11"/>
  <c r="B296" i="11" s="1"/>
  <c r="C295" i="11"/>
  <c r="B295" i="11" s="1"/>
  <c r="C294" i="11"/>
  <c r="B294" i="11" s="1"/>
  <c r="C293" i="11"/>
  <c r="B293" i="11" s="1"/>
  <c r="C292" i="11"/>
  <c r="B292" i="11" s="1"/>
  <c r="C291" i="11"/>
  <c r="B291" i="11" s="1"/>
  <c r="C289" i="11"/>
  <c r="B289" i="11" s="1"/>
  <c r="C288" i="11"/>
  <c r="B288" i="11" s="1"/>
  <c r="C287" i="11"/>
  <c r="B287" i="11" s="1"/>
  <c r="C286" i="11"/>
  <c r="B286" i="11" s="1"/>
  <c r="C285" i="11"/>
  <c r="B285" i="11" s="1"/>
  <c r="C284" i="11"/>
  <c r="B284" i="11" s="1"/>
  <c r="C283" i="11"/>
  <c r="B283" i="11" s="1"/>
  <c r="C282" i="11"/>
  <c r="B282" i="11" s="1"/>
  <c r="C281" i="11"/>
  <c r="B281" i="11" s="1"/>
  <c r="C279" i="11"/>
  <c r="B279" i="11" s="1"/>
  <c r="C278" i="11"/>
  <c r="B278" i="11" s="1"/>
  <c r="C277" i="11"/>
  <c r="B277" i="11" s="1"/>
  <c r="C276" i="11"/>
  <c r="B276" i="11" s="1"/>
  <c r="C275" i="11"/>
  <c r="B275" i="11" s="1"/>
  <c r="C274" i="11"/>
  <c r="B274" i="11" s="1"/>
  <c r="C273" i="11"/>
  <c r="B273" i="11" s="1"/>
  <c r="C272" i="11"/>
  <c r="B272" i="11" s="1"/>
  <c r="C271" i="11"/>
  <c r="B271" i="11" s="1"/>
  <c r="C270" i="11"/>
  <c r="B270" i="11" s="1"/>
  <c r="C269" i="11"/>
  <c r="B269" i="11" s="1"/>
  <c r="C268" i="11"/>
  <c r="B268" i="11" s="1"/>
  <c r="C267" i="11"/>
  <c r="B267" i="11" s="1"/>
  <c r="C266" i="11"/>
  <c r="B266" i="11" s="1"/>
  <c r="C265" i="11"/>
  <c r="B265" i="11" s="1"/>
  <c r="C264" i="11"/>
  <c r="B264" i="11" s="1"/>
  <c r="C263" i="11"/>
  <c r="B263" i="11" s="1"/>
  <c r="C262" i="11"/>
  <c r="B262" i="11" s="1"/>
  <c r="C261" i="11"/>
  <c r="B261" i="11" s="1"/>
  <c r="C260" i="11"/>
  <c r="B260" i="11" s="1"/>
  <c r="C259" i="11"/>
  <c r="B259" i="11" s="1"/>
  <c r="C258" i="11"/>
  <c r="B258" i="11" s="1"/>
  <c r="C257" i="11"/>
  <c r="B257" i="11" s="1"/>
  <c r="C256" i="11"/>
  <c r="B256" i="11" s="1"/>
  <c r="C255" i="11"/>
  <c r="B255" i="11" s="1"/>
  <c r="C254" i="11"/>
  <c r="B254" i="11" s="1"/>
  <c r="C253" i="11"/>
  <c r="B253" i="11" s="1"/>
  <c r="C252" i="11"/>
  <c r="B252" i="11" s="1"/>
  <c r="C251" i="11"/>
  <c r="B251" i="11" s="1"/>
  <c r="C250" i="11"/>
  <c r="B250" i="11" s="1"/>
  <c r="C249" i="11"/>
  <c r="B249" i="11" s="1"/>
  <c r="C248" i="11"/>
  <c r="B248" i="11" s="1"/>
  <c r="C247" i="11"/>
  <c r="B247" i="11" s="1"/>
  <c r="C246" i="11"/>
  <c r="B246" i="11" s="1"/>
  <c r="C245" i="11"/>
  <c r="B245" i="11" s="1"/>
  <c r="C244" i="11"/>
  <c r="B244" i="11" s="1"/>
  <c r="C243" i="11"/>
  <c r="B243" i="11" s="1"/>
  <c r="C242" i="11"/>
  <c r="B242" i="11" s="1"/>
  <c r="C241" i="11"/>
  <c r="B241" i="11" s="1"/>
  <c r="C240" i="11"/>
  <c r="B240" i="11" s="1"/>
  <c r="C239" i="11"/>
  <c r="B239" i="11" s="1"/>
  <c r="C238" i="11"/>
  <c r="B238" i="11" s="1"/>
  <c r="C237" i="11"/>
  <c r="B237" i="11" s="1"/>
  <c r="C236" i="11"/>
  <c r="B236" i="11" s="1"/>
  <c r="C235" i="11"/>
  <c r="B235" i="11" s="1"/>
  <c r="C234" i="11"/>
  <c r="B234" i="11" s="1"/>
  <c r="C232" i="11"/>
  <c r="B232" i="11" s="1"/>
  <c r="C231" i="11"/>
  <c r="B231" i="11" s="1"/>
  <c r="C230" i="11"/>
  <c r="B230" i="11" s="1"/>
  <c r="C229" i="11"/>
  <c r="B229" i="11" s="1"/>
  <c r="C228" i="11"/>
  <c r="B228" i="11" s="1"/>
  <c r="C227" i="11"/>
  <c r="B227" i="11" s="1"/>
  <c r="C226" i="11"/>
  <c r="B226" i="11" s="1"/>
  <c r="C225" i="11"/>
  <c r="B225" i="11" s="1"/>
  <c r="C224" i="11"/>
  <c r="B224" i="11" s="1"/>
  <c r="C222" i="11"/>
  <c r="B222" i="11" s="1"/>
  <c r="C221" i="11"/>
  <c r="B221" i="11" s="1"/>
  <c r="C220" i="11"/>
  <c r="B220" i="11" s="1"/>
  <c r="C219" i="11"/>
  <c r="B219" i="11" s="1"/>
  <c r="C218" i="11"/>
  <c r="B218" i="11" s="1"/>
  <c r="C217" i="11"/>
  <c r="B217" i="11" s="1"/>
  <c r="C216" i="11"/>
  <c r="B216" i="11" s="1"/>
  <c r="C215" i="11"/>
  <c r="B215" i="11" s="1"/>
  <c r="C214" i="11"/>
  <c r="B214" i="11" s="1"/>
  <c r="C213" i="11"/>
  <c r="B213" i="11" s="1"/>
  <c r="C212" i="11"/>
  <c r="B212" i="11" s="1"/>
  <c r="C211" i="11"/>
  <c r="B211" i="11" s="1"/>
  <c r="C210" i="11"/>
  <c r="B210" i="11" s="1"/>
  <c r="C209" i="11"/>
  <c r="B209" i="11" s="1"/>
  <c r="C208" i="11"/>
  <c r="B208" i="11" s="1"/>
  <c r="C207" i="11"/>
  <c r="B207" i="11" s="1"/>
  <c r="C206" i="11"/>
  <c r="B206" i="11" s="1"/>
  <c r="C205" i="11"/>
  <c r="B205" i="11" s="1"/>
  <c r="C204" i="11"/>
  <c r="B204" i="11" s="1"/>
  <c r="C203" i="11"/>
  <c r="B203" i="11" s="1"/>
  <c r="C202" i="11"/>
  <c r="B202" i="11" s="1"/>
  <c r="C201" i="11"/>
  <c r="B201" i="11" s="1"/>
  <c r="C200" i="11"/>
  <c r="B200" i="11" s="1"/>
  <c r="C199" i="11"/>
  <c r="B199" i="11" s="1"/>
  <c r="C198" i="11"/>
  <c r="B198" i="11" s="1"/>
  <c r="C197" i="11"/>
  <c r="B197" i="11" s="1"/>
  <c r="C196" i="11"/>
  <c r="B196" i="11" s="1"/>
  <c r="C195" i="11"/>
  <c r="B195" i="11" s="1"/>
  <c r="C194" i="11"/>
  <c r="B194" i="11" s="1"/>
  <c r="C193" i="11"/>
  <c r="B193" i="11" s="1"/>
  <c r="C192" i="11"/>
  <c r="B192" i="11" s="1"/>
  <c r="C191" i="11"/>
  <c r="B191" i="11" s="1"/>
  <c r="C190" i="11"/>
  <c r="B190" i="11" s="1"/>
  <c r="C189" i="11"/>
  <c r="B189" i="11" s="1"/>
  <c r="C188" i="11"/>
  <c r="B188" i="11" s="1"/>
  <c r="C187" i="11"/>
  <c r="B187" i="11" s="1"/>
  <c r="C186" i="11"/>
  <c r="B186" i="11" s="1"/>
  <c r="C185" i="11"/>
  <c r="B185" i="11" s="1"/>
  <c r="C184" i="11"/>
  <c r="B184" i="11" s="1"/>
  <c r="C183" i="11"/>
  <c r="B183" i="11" s="1"/>
  <c r="C182" i="11"/>
  <c r="B182" i="11" s="1"/>
  <c r="C181" i="11"/>
  <c r="B181" i="11" s="1"/>
  <c r="C180" i="11"/>
  <c r="B180" i="11" s="1"/>
  <c r="C179" i="11"/>
  <c r="B179" i="11" s="1"/>
  <c r="C178" i="11"/>
  <c r="B178" i="11" s="1"/>
  <c r="C177" i="11"/>
  <c r="B177" i="11" s="1"/>
  <c r="C175" i="11"/>
  <c r="B175" i="11" s="1"/>
  <c r="C174" i="11"/>
  <c r="B174" i="11" s="1"/>
  <c r="C173" i="11"/>
  <c r="B173" i="11" s="1"/>
  <c r="C172" i="11"/>
  <c r="B172" i="11" s="1"/>
  <c r="C171" i="11"/>
  <c r="B171" i="11" s="1"/>
  <c r="C170" i="11"/>
  <c r="B170" i="11" s="1"/>
  <c r="C169" i="11"/>
  <c r="B169" i="11" s="1"/>
  <c r="C168" i="11"/>
  <c r="B168" i="11" s="1"/>
  <c r="C167" i="11"/>
  <c r="B167" i="11" s="1"/>
  <c r="C165" i="11"/>
  <c r="B165" i="11" s="1"/>
  <c r="C164" i="11"/>
  <c r="B164" i="11" s="1"/>
  <c r="C163" i="11"/>
  <c r="B163" i="11" s="1"/>
  <c r="C162" i="11"/>
  <c r="B162" i="11" s="1"/>
  <c r="C161" i="11"/>
  <c r="B161" i="11" s="1"/>
  <c r="C160" i="11"/>
  <c r="B160" i="11" s="1"/>
  <c r="C159" i="11"/>
  <c r="B159" i="11" s="1"/>
  <c r="C158" i="11"/>
  <c r="B158" i="11" s="1"/>
  <c r="C157" i="11"/>
  <c r="B157" i="11" s="1"/>
  <c r="C156" i="11"/>
  <c r="B156" i="11" s="1"/>
  <c r="C155" i="11"/>
  <c r="B155" i="11" s="1"/>
  <c r="C154" i="11"/>
  <c r="B154" i="11" s="1"/>
  <c r="C153" i="11"/>
  <c r="B153" i="11" s="1"/>
  <c r="C152" i="11"/>
  <c r="B152" i="11" s="1"/>
  <c r="C144" i="11"/>
  <c r="B144" i="11" s="1"/>
  <c r="C143" i="11"/>
  <c r="B143" i="11" s="1"/>
  <c r="C151" i="11"/>
  <c r="B151" i="11" s="1"/>
  <c r="C150" i="11"/>
  <c r="B150" i="11" s="1"/>
  <c r="C149" i="11"/>
  <c r="B149" i="11" s="1"/>
  <c r="C148" i="11"/>
  <c r="B148" i="11" s="1"/>
  <c r="C147" i="11"/>
  <c r="B147" i="11" s="1"/>
  <c r="C146" i="11"/>
  <c r="B146" i="11" s="1"/>
  <c r="C145" i="11"/>
  <c r="B145" i="11" s="1"/>
  <c r="C142" i="11"/>
  <c r="B142" i="11" s="1"/>
  <c r="C141" i="11"/>
  <c r="B141" i="11" s="1"/>
  <c r="C140" i="11"/>
  <c r="B140" i="11" s="1"/>
  <c r="C138" i="11"/>
  <c r="B138" i="11" s="1"/>
  <c r="C139" i="11"/>
  <c r="B139" i="11" s="1"/>
  <c r="C137" i="11"/>
  <c r="B137" i="11" s="1"/>
  <c r="C136" i="11"/>
  <c r="B136" i="11" s="1"/>
  <c r="C135" i="11"/>
  <c r="B135" i="11" s="1"/>
  <c r="C134" i="11"/>
  <c r="B134" i="11" s="1"/>
  <c r="C133" i="11"/>
  <c r="B133" i="11" s="1"/>
  <c r="C132" i="11"/>
  <c r="B132" i="11" s="1"/>
  <c r="C131" i="11"/>
  <c r="B131" i="11" s="1"/>
  <c r="C130" i="11"/>
  <c r="B130" i="11" s="1"/>
  <c r="C129" i="11"/>
  <c r="B129" i="11" s="1"/>
  <c r="C128" i="11"/>
  <c r="B128" i="11" s="1"/>
  <c r="C127" i="11"/>
  <c r="B127" i="11" s="1"/>
  <c r="C126" i="11"/>
  <c r="B126" i="11" s="1"/>
  <c r="C125" i="11"/>
  <c r="B125" i="11" s="1"/>
  <c r="C124" i="11"/>
  <c r="B124" i="11" s="1"/>
  <c r="C123" i="11"/>
  <c r="B123" i="11" s="1"/>
  <c r="C122" i="11"/>
  <c r="B122" i="11" s="1"/>
  <c r="C121" i="11"/>
  <c r="B121" i="11" s="1"/>
  <c r="C120" i="11"/>
  <c r="B120" i="11" s="1"/>
  <c r="C118" i="11"/>
  <c r="B118" i="11" s="1"/>
  <c r="C108" i="11"/>
  <c r="B108" i="11" s="1"/>
  <c r="C107" i="11"/>
  <c r="B107" i="11" s="1"/>
  <c r="C106" i="11"/>
  <c r="B106" i="11" s="1"/>
  <c r="C105" i="11"/>
  <c r="B105" i="11" s="1"/>
  <c r="C104" i="11"/>
  <c r="B104" i="11" s="1"/>
  <c r="C103" i="11"/>
  <c r="B103" i="11" s="1"/>
  <c r="C102" i="11"/>
  <c r="B102" i="11" s="1"/>
  <c r="C101" i="11"/>
  <c r="B101" i="11" s="1"/>
  <c r="C100" i="11"/>
  <c r="B100" i="11" s="1"/>
  <c r="C99" i="11"/>
  <c r="B99" i="11" s="1"/>
  <c r="C98" i="11"/>
  <c r="B98" i="11" s="1"/>
  <c r="C97" i="11"/>
  <c r="B97" i="11" s="1"/>
  <c r="C96" i="11"/>
  <c r="B96" i="11" s="1"/>
  <c r="C95" i="11"/>
  <c r="B95" i="11" s="1"/>
  <c r="C94" i="11"/>
  <c r="B94" i="11" s="1"/>
  <c r="C93" i="11"/>
  <c r="B93" i="11" s="1"/>
  <c r="C92" i="11"/>
  <c r="B92" i="11" s="1"/>
  <c r="C91" i="11"/>
  <c r="B91" i="11" s="1"/>
  <c r="C90" i="11"/>
  <c r="B90" i="11" s="1"/>
  <c r="C89" i="11"/>
  <c r="B89" i="11" s="1"/>
  <c r="C88" i="11"/>
  <c r="B88" i="11" s="1"/>
  <c r="C85" i="11"/>
  <c r="B85" i="11" s="1"/>
  <c r="C84" i="11"/>
  <c r="B84" i="11" s="1"/>
  <c r="C83" i="11"/>
  <c r="B83" i="11" s="1"/>
  <c r="C82" i="11"/>
  <c r="B82" i="11" s="1"/>
  <c r="C81" i="11"/>
  <c r="B81" i="11" s="1"/>
  <c r="C80" i="11"/>
  <c r="B80" i="11" s="1"/>
  <c r="C79" i="11"/>
  <c r="B79" i="11" s="1"/>
  <c r="C78" i="11"/>
  <c r="B78" i="11" s="1"/>
  <c r="C77" i="11"/>
  <c r="B77" i="11" s="1"/>
  <c r="C76" i="11"/>
  <c r="B76" i="11" s="1"/>
  <c r="C75" i="11"/>
  <c r="B75" i="11" s="1"/>
  <c r="C74" i="11"/>
  <c r="B74" i="11" s="1"/>
  <c r="C73" i="11"/>
  <c r="B73" i="11" s="1"/>
  <c r="C72" i="11"/>
  <c r="B72" i="11" s="1"/>
  <c r="C71" i="11"/>
  <c r="B71" i="11" s="1"/>
  <c r="C70" i="11"/>
  <c r="B70" i="11" s="1"/>
  <c r="C69" i="11"/>
  <c r="B69" i="11" s="1"/>
  <c r="C68" i="11"/>
  <c r="B68" i="11" s="1"/>
  <c r="C67" i="11"/>
  <c r="B67" i="11" s="1"/>
  <c r="C66" i="11"/>
  <c r="B66" i="11" s="1"/>
  <c r="C65" i="11"/>
  <c r="B65" i="11" s="1"/>
  <c r="C64" i="11"/>
  <c r="B64" i="11" s="1"/>
  <c r="C63" i="11"/>
  <c r="B63" i="11" s="1"/>
  <c r="C117" i="11"/>
  <c r="B117" i="11" s="1"/>
  <c r="C116" i="11"/>
  <c r="B116" i="11" s="1"/>
  <c r="C115" i="11"/>
  <c r="B115" i="11" s="1"/>
  <c r="C114" i="11"/>
  <c r="B114" i="11" s="1"/>
  <c r="C113" i="11"/>
  <c r="B113" i="11" s="1"/>
  <c r="C112" i="11"/>
  <c r="B112" i="11" s="1"/>
  <c r="C111" i="11"/>
  <c r="B111" i="11" s="1"/>
  <c r="C110" i="11"/>
  <c r="B110" i="11" s="1"/>
  <c r="C61" i="11"/>
  <c r="B61" i="11" s="1"/>
  <c r="C60" i="11"/>
  <c r="B60" i="11" s="1"/>
  <c r="C59" i="11"/>
  <c r="B59" i="11" s="1"/>
  <c r="C58" i="11"/>
  <c r="B58" i="11" s="1"/>
  <c r="C57" i="11"/>
  <c r="B57" i="11" s="1"/>
  <c r="C56" i="11"/>
  <c r="B56" i="11" s="1"/>
  <c r="C55" i="11"/>
  <c r="B55" i="11" s="1"/>
  <c r="C54" i="11"/>
  <c r="B54" i="11" s="1"/>
  <c r="C53" i="11"/>
  <c r="B53" i="11" s="1"/>
  <c r="C51" i="11"/>
  <c r="B51" i="11" s="1"/>
  <c r="C50" i="11"/>
  <c r="B50" i="11" s="1"/>
  <c r="C49" i="11"/>
  <c r="B49" i="11" s="1"/>
  <c r="C48" i="11"/>
  <c r="B48" i="11" s="1"/>
  <c r="C47" i="11"/>
  <c r="B47" i="11" s="1"/>
  <c r="C46" i="11"/>
  <c r="B46" i="11" s="1"/>
  <c r="C45" i="11"/>
  <c r="B45" i="11" s="1"/>
  <c r="C44" i="11"/>
  <c r="B44" i="11" s="1"/>
  <c r="C43" i="11"/>
  <c r="B43" i="11" s="1"/>
  <c r="C42" i="11"/>
  <c r="B42" i="11" s="1"/>
  <c r="C41" i="11"/>
  <c r="B41" i="11" s="1"/>
  <c r="C40" i="11"/>
  <c r="B40" i="11" s="1"/>
  <c r="C39" i="11"/>
  <c r="B39" i="11" s="1"/>
  <c r="C38" i="11"/>
  <c r="B38" i="11" s="1"/>
  <c r="C37" i="11"/>
  <c r="B37" i="11" s="1"/>
  <c r="C36" i="11"/>
  <c r="B36" i="11" s="1"/>
  <c r="C35" i="11"/>
  <c r="B35" i="11" s="1"/>
  <c r="C34" i="11"/>
  <c r="B34" i="11" s="1"/>
  <c r="C33" i="11"/>
  <c r="B33" i="11" s="1"/>
  <c r="C32" i="11"/>
  <c r="B32" i="11" s="1"/>
  <c r="C31" i="11"/>
  <c r="B31" i="11" s="1"/>
  <c r="C28" i="11"/>
  <c r="B28" i="11" s="1"/>
  <c r="C27" i="11"/>
  <c r="B27" i="11" s="1"/>
  <c r="C26" i="11"/>
  <c r="B26" i="11" s="1"/>
  <c r="C25" i="11"/>
  <c r="B25" i="11" s="1"/>
  <c r="C24" i="11"/>
  <c r="B24" i="11" s="1"/>
  <c r="C23" i="11"/>
  <c r="B23" i="11" s="1"/>
  <c r="C22" i="11"/>
  <c r="B22" i="11" s="1"/>
  <c r="C21" i="11"/>
  <c r="B21" i="11" s="1"/>
  <c r="C20" i="11"/>
  <c r="B20" i="11" s="1"/>
  <c r="C19" i="11"/>
  <c r="B19" i="11" s="1"/>
  <c r="C18" i="11"/>
  <c r="B18" i="11" s="1"/>
  <c r="C17" i="11"/>
  <c r="B17" i="11" s="1"/>
  <c r="C16" i="11"/>
  <c r="B16" i="11" s="1"/>
  <c r="C15" i="11"/>
  <c r="B15" i="11" s="1"/>
  <c r="C14" i="11"/>
  <c r="B14" i="11" s="1"/>
  <c r="C13" i="11"/>
  <c r="B13" i="11" s="1"/>
  <c r="C12" i="11"/>
  <c r="B12" i="11" s="1"/>
  <c r="C11" i="11"/>
  <c r="B11" i="11" s="1"/>
  <c r="C10" i="11"/>
  <c r="B10" i="11" s="1"/>
  <c r="C9" i="11"/>
  <c r="B9" i="11" s="1"/>
  <c r="C8" i="11"/>
  <c r="B8" i="11" s="1"/>
  <c r="C7" i="11"/>
  <c r="B7" i="11" s="1"/>
  <c r="C6" i="11"/>
  <c r="B6" i="11" s="1"/>
  <c r="B53" i="6"/>
  <c r="B52" i="6"/>
  <c r="B51" i="6"/>
  <c r="B50" i="6"/>
  <c r="B49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14" i="9"/>
  <c r="B10" i="9"/>
  <c r="B6" i="9"/>
  <c r="B11" i="9"/>
  <c r="B9" i="9"/>
  <c r="B8" i="9"/>
  <c r="B47" i="9"/>
  <c r="B46" i="9"/>
  <c r="B50" i="9"/>
  <c r="B49" i="9"/>
  <c r="B23" i="9"/>
  <c r="B21" i="9"/>
  <c r="B22" i="9"/>
  <c r="B20" i="9"/>
  <c r="B18" i="9"/>
  <c r="B44" i="9"/>
  <c r="B43" i="9"/>
  <c r="B42" i="9"/>
  <c r="B41" i="9"/>
  <c r="B16" i="9"/>
  <c r="B15" i="9"/>
  <c r="B13" i="9"/>
  <c r="B26" i="9"/>
  <c r="B30" i="9"/>
  <c r="B28" i="9"/>
  <c r="B29" i="9"/>
  <c r="B27" i="9"/>
  <c r="B25" i="9"/>
  <c r="B39" i="9"/>
  <c r="B38" i="9"/>
  <c r="B37" i="9"/>
  <c r="B36" i="9"/>
  <c r="B35" i="9"/>
  <c r="B34" i="9"/>
  <c r="B33" i="9"/>
  <c r="B32" i="9"/>
  <c r="D110" i="11" l="1"/>
  <c r="E110" i="11"/>
  <c r="D114" i="11"/>
  <c r="E114" i="11"/>
  <c r="D63" i="11"/>
  <c r="E63" i="11"/>
  <c r="D67" i="11"/>
  <c r="E67" i="11"/>
  <c r="D71" i="11"/>
  <c r="E71" i="11"/>
  <c r="D75" i="11"/>
  <c r="E75" i="11"/>
  <c r="D79" i="11"/>
  <c r="E79" i="11"/>
  <c r="D83" i="11"/>
  <c r="E83" i="11"/>
  <c r="D89" i="11"/>
  <c r="E89" i="11"/>
  <c r="D93" i="11"/>
  <c r="E93" i="11"/>
  <c r="D97" i="11"/>
  <c r="E97" i="11"/>
  <c r="D101" i="11"/>
  <c r="E101" i="11"/>
  <c r="D105" i="11"/>
  <c r="E105" i="11"/>
  <c r="D118" i="11"/>
  <c r="E118" i="11"/>
  <c r="D123" i="11"/>
  <c r="E123" i="11"/>
  <c r="D127" i="11"/>
  <c r="E127" i="11"/>
  <c r="D131" i="11"/>
  <c r="E131" i="11"/>
  <c r="D135" i="11"/>
  <c r="E135" i="11"/>
  <c r="D138" i="11"/>
  <c r="E138" i="11"/>
  <c r="D145" i="11"/>
  <c r="E145" i="11"/>
  <c r="D149" i="11"/>
  <c r="E149" i="11"/>
  <c r="D144" i="11"/>
  <c r="E144" i="11"/>
  <c r="D155" i="11"/>
  <c r="E155" i="11"/>
  <c r="D159" i="11"/>
  <c r="E159" i="11"/>
  <c r="D163" i="11"/>
  <c r="E163" i="11"/>
  <c r="D168" i="11"/>
  <c r="E168" i="11"/>
  <c r="D172" i="11"/>
  <c r="E172" i="11"/>
  <c r="D177" i="11"/>
  <c r="E177" i="11"/>
  <c r="D181" i="11"/>
  <c r="E181" i="11"/>
  <c r="D185" i="11"/>
  <c r="E185" i="11"/>
  <c r="D189" i="11"/>
  <c r="E189" i="11"/>
  <c r="D193" i="11"/>
  <c r="E193" i="11"/>
  <c r="D197" i="11"/>
  <c r="E197" i="11"/>
  <c r="D201" i="11"/>
  <c r="E201" i="11"/>
  <c r="D205" i="11"/>
  <c r="E205" i="11"/>
  <c r="D209" i="11"/>
  <c r="E209" i="11"/>
  <c r="D213" i="11"/>
  <c r="E213" i="11"/>
  <c r="D217" i="11"/>
  <c r="E217" i="11"/>
  <c r="D221" i="11"/>
  <c r="E221" i="11"/>
  <c r="D226" i="11"/>
  <c r="E226" i="11"/>
  <c r="D230" i="11"/>
  <c r="E230" i="11"/>
  <c r="D235" i="11"/>
  <c r="E235" i="11"/>
  <c r="D239" i="11"/>
  <c r="E239" i="11"/>
  <c r="D243" i="11"/>
  <c r="E243" i="11"/>
  <c r="D247" i="11"/>
  <c r="E247" i="11"/>
  <c r="D251" i="11"/>
  <c r="E251" i="11"/>
  <c r="D255" i="11"/>
  <c r="E255" i="11"/>
  <c r="D259" i="11"/>
  <c r="E259" i="11"/>
  <c r="D263" i="11"/>
  <c r="E263" i="11"/>
  <c r="D267" i="11"/>
  <c r="E267" i="11"/>
  <c r="D271" i="11"/>
  <c r="E271" i="11"/>
  <c r="D275" i="11"/>
  <c r="E275" i="11"/>
  <c r="D279" i="11"/>
  <c r="E279" i="11"/>
  <c r="D284" i="11"/>
  <c r="E284" i="11"/>
  <c r="D288" i="11"/>
  <c r="E288" i="11"/>
  <c r="D293" i="11"/>
  <c r="E293" i="11"/>
  <c r="D297" i="11"/>
  <c r="E297" i="11"/>
  <c r="D301" i="11"/>
  <c r="E301" i="11"/>
  <c r="D305" i="11"/>
  <c r="E305" i="11"/>
  <c r="D309" i="11"/>
  <c r="E309" i="11"/>
  <c r="D313" i="11"/>
  <c r="E313" i="11"/>
  <c r="D317" i="11"/>
  <c r="E317" i="11"/>
  <c r="D321" i="11"/>
  <c r="E321" i="11"/>
  <c r="D325" i="11"/>
  <c r="E325" i="11"/>
  <c r="D329" i="11"/>
  <c r="E329" i="11"/>
  <c r="D333" i="11"/>
  <c r="E333" i="11"/>
  <c r="D338" i="11"/>
  <c r="E338" i="11"/>
  <c r="D342" i="11"/>
  <c r="E342" i="11"/>
  <c r="D346" i="11"/>
  <c r="E346" i="11"/>
  <c r="D351" i="11"/>
  <c r="E351" i="11"/>
  <c r="D355" i="11"/>
  <c r="E355" i="11"/>
  <c r="D359" i="11"/>
  <c r="E359" i="11"/>
  <c r="D363" i="11"/>
  <c r="E363" i="11"/>
  <c r="D366" i="11"/>
  <c r="E366" i="11"/>
  <c r="D376" i="11"/>
  <c r="E376" i="11"/>
  <c r="D368" i="11"/>
  <c r="E368" i="11"/>
  <c r="D372" i="11"/>
  <c r="E372" i="11"/>
  <c r="D383" i="11"/>
  <c r="E383" i="11"/>
  <c r="D387" i="11"/>
  <c r="E387" i="11"/>
  <c r="D391" i="11"/>
  <c r="E391" i="11"/>
  <c r="D396" i="11"/>
  <c r="E396" i="11"/>
  <c r="D400" i="11"/>
  <c r="E400" i="11"/>
  <c r="D452" i="11"/>
  <c r="E452" i="11"/>
  <c r="D456" i="11"/>
  <c r="E456" i="11"/>
  <c r="D457" i="11"/>
  <c r="E457" i="11"/>
  <c r="D408" i="11"/>
  <c r="E408" i="11"/>
  <c r="D412" i="11"/>
  <c r="E412" i="11"/>
  <c r="D416" i="11"/>
  <c r="E416" i="11"/>
  <c r="D420" i="11"/>
  <c r="E420" i="11"/>
  <c r="D424" i="11"/>
  <c r="E424" i="11"/>
  <c r="D428" i="11"/>
  <c r="E428" i="11"/>
  <c r="D432" i="11"/>
  <c r="E432" i="11"/>
  <c r="D436" i="11"/>
  <c r="E436" i="11"/>
  <c r="D440" i="11"/>
  <c r="E440" i="11"/>
  <c r="D444" i="11"/>
  <c r="E444" i="11"/>
  <c r="D448" i="11"/>
  <c r="E448" i="11"/>
  <c r="D7" i="11"/>
  <c r="E7" i="11"/>
  <c r="D9" i="11"/>
  <c r="E9" i="11"/>
  <c r="D11" i="11"/>
  <c r="E11" i="11"/>
  <c r="D13" i="11"/>
  <c r="E13" i="11"/>
  <c r="D15" i="11"/>
  <c r="E15" i="11"/>
  <c r="D17" i="11"/>
  <c r="E17" i="11"/>
  <c r="D19" i="11"/>
  <c r="E19" i="11"/>
  <c r="D21" i="11"/>
  <c r="E21" i="11"/>
  <c r="D23" i="11"/>
  <c r="E23" i="11"/>
  <c r="D25" i="11"/>
  <c r="E25" i="11"/>
  <c r="D27" i="11"/>
  <c r="E27" i="11"/>
  <c r="D31" i="11"/>
  <c r="E31" i="11"/>
  <c r="D33" i="11"/>
  <c r="E33" i="11"/>
  <c r="D35" i="11"/>
  <c r="E35" i="11"/>
  <c r="D37" i="11"/>
  <c r="E37" i="11"/>
  <c r="D39" i="11"/>
  <c r="E39" i="11"/>
  <c r="D41" i="11"/>
  <c r="E41" i="11"/>
  <c r="D43" i="11"/>
  <c r="E43" i="11"/>
  <c r="D45" i="11"/>
  <c r="E45" i="11"/>
  <c r="D47" i="11"/>
  <c r="E47" i="11"/>
  <c r="D49" i="11"/>
  <c r="E49" i="11"/>
  <c r="D51" i="11"/>
  <c r="E51" i="11"/>
  <c r="D54" i="11"/>
  <c r="E54" i="11"/>
  <c r="D56" i="11"/>
  <c r="E56" i="11"/>
  <c r="D58" i="11"/>
  <c r="E58" i="11"/>
  <c r="D60" i="11"/>
  <c r="E60" i="11"/>
  <c r="D111" i="11"/>
  <c r="E111" i="11"/>
  <c r="D115" i="11"/>
  <c r="E115" i="11"/>
  <c r="D64" i="11"/>
  <c r="E64" i="11"/>
  <c r="D68" i="11"/>
  <c r="E68" i="11"/>
  <c r="D72" i="11"/>
  <c r="E72" i="11"/>
  <c r="D76" i="11"/>
  <c r="E76" i="11"/>
  <c r="D80" i="11"/>
  <c r="E80" i="11"/>
  <c r="D84" i="11"/>
  <c r="E84" i="11"/>
  <c r="D90" i="11"/>
  <c r="E90" i="11"/>
  <c r="D94" i="11"/>
  <c r="E94" i="11"/>
  <c r="D98" i="11"/>
  <c r="E98" i="11"/>
  <c r="D102" i="11"/>
  <c r="E102" i="11"/>
  <c r="D106" i="11"/>
  <c r="E106" i="11"/>
  <c r="D120" i="11"/>
  <c r="E120" i="11"/>
  <c r="D124" i="11"/>
  <c r="E124" i="11"/>
  <c r="D128" i="11"/>
  <c r="E128" i="11"/>
  <c r="D132" i="11"/>
  <c r="E132" i="11"/>
  <c r="D136" i="11"/>
  <c r="E136" i="11"/>
  <c r="D140" i="11"/>
  <c r="E140" i="11"/>
  <c r="D146" i="11"/>
  <c r="E146" i="11"/>
  <c r="D150" i="11"/>
  <c r="E150" i="11"/>
  <c r="D152" i="11"/>
  <c r="E152" i="11"/>
  <c r="D156" i="11"/>
  <c r="E156" i="11"/>
  <c r="D160" i="11"/>
  <c r="E160" i="11"/>
  <c r="D164" i="11"/>
  <c r="E164" i="11"/>
  <c r="D169" i="11"/>
  <c r="E169" i="11"/>
  <c r="D173" i="11"/>
  <c r="E173" i="11"/>
  <c r="D178" i="11"/>
  <c r="E178" i="11"/>
  <c r="D182" i="11"/>
  <c r="E182" i="11"/>
  <c r="D186" i="11"/>
  <c r="E186" i="11"/>
  <c r="D190" i="11"/>
  <c r="E190" i="11"/>
  <c r="D194" i="11"/>
  <c r="E194" i="11"/>
  <c r="D198" i="11"/>
  <c r="E198" i="11"/>
  <c r="D202" i="11"/>
  <c r="E202" i="11"/>
  <c r="D206" i="11"/>
  <c r="E206" i="11"/>
  <c r="D210" i="11"/>
  <c r="E210" i="11"/>
  <c r="D214" i="11"/>
  <c r="E214" i="11"/>
  <c r="D218" i="11"/>
  <c r="E218" i="11"/>
  <c r="D222" i="11"/>
  <c r="E222" i="11"/>
  <c r="D227" i="11"/>
  <c r="E227" i="11"/>
  <c r="D231" i="11"/>
  <c r="E231" i="11"/>
  <c r="D236" i="11"/>
  <c r="E236" i="11"/>
  <c r="D240" i="11"/>
  <c r="E240" i="11"/>
  <c r="D244" i="11"/>
  <c r="E244" i="11"/>
  <c r="D248" i="11"/>
  <c r="E248" i="11"/>
  <c r="D252" i="11"/>
  <c r="E252" i="11"/>
  <c r="D256" i="11"/>
  <c r="E256" i="11"/>
  <c r="D260" i="11"/>
  <c r="E260" i="11"/>
  <c r="D264" i="11"/>
  <c r="E264" i="11"/>
  <c r="D268" i="11"/>
  <c r="E268" i="11"/>
  <c r="D272" i="11"/>
  <c r="E272" i="11"/>
  <c r="D276" i="11"/>
  <c r="E276" i="11"/>
  <c r="D281" i="11"/>
  <c r="E281" i="11"/>
  <c r="D285" i="11"/>
  <c r="E285" i="11"/>
  <c r="D289" i="11"/>
  <c r="E289" i="11"/>
  <c r="D294" i="11"/>
  <c r="E294" i="11"/>
  <c r="D298" i="11"/>
  <c r="E298" i="11"/>
  <c r="D302" i="11"/>
  <c r="E302" i="11"/>
  <c r="D306" i="11"/>
  <c r="E306" i="11"/>
  <c r="D310" i="11"/>
  <c r="E310" i="11"/>
  <c r="D314" i="11"/>
  <c r="E314" i="11"/>
  <c r="D318" i="11"/>
  <c r="E318" i="11"/>
  <c r="D322" i="11"/>
  <c r="E322" i="11"/>
  <c r="D326" i="11"/>
  <c r="E326" i="11"/>
  <c r="D330" i="11"/>
  <c r="E330" i="11"/>
  <c r="D334" i="11"/>
  <c r="E334" i="11"/>
  <c r="D339" i="11"/>
  <c r="E339" i="11"/>
  <c r="D343" i="11"/>
  <c r="E343" i="11"/>
  <c r="D348" i="11"/>
  <c r="E348" i="11"/>
  <c r="D352" i="11"/>
  <c r="E352" i="11"/>
  <c r="D356" i="11"/>
  <c r="E356" i="11"/>
  <c r="D360" i="11"/>
  <c r="E360" i="11"/>
  <c r="D364" i="11"/>
  <c r="E364" i="11"/>
  <c r="D373" i="11"/>
  <c r="E373" i="11"/>
  <c r="D377" i="11"/>
  <c r="E377" i="11"/>
  <c r="D369" i="11"/>
  <c r="E369" i="11"/>
  <c r="D380" i="11"/>
  <c r="E380" i="11"/>
  <c r="D384" i="11"/>
  <c r="E384" i="11"/>
  <c r="D388" i="11"/>
  <c r="E388" i="11"/>
  <c r="D392" i="11"/>
  <c r="E392" i="11"/>
  <c r="D397" i="11"/>
  <c r="E397" i="11"/>
  <c r="D401" i="11"/>
  <c r="E401" i="11"/>
  <c r="D454" i="11"/>
  <c r="E454" i="11"/>
  <c r="D458" i="11"/>
  <c r="E458" i="11"/>
  <c r="D405" i="11"/>
  <c r="E405" i="11"/>
  <c r="D409" i="11"/>
  <c r="E409" i="11"/>
  <c r="D413" i="11"/>
  <c r="E413" i="11"/>
  <c r="D417" i="11"/>
  <c r="E417" i="11"/>
  <c r="D421" i="11"/>
  <c r="E421" i="11"/>
  <c r="D425" i="11"/>
  <c r="E425" i="11"/>
  <c r="D429" i="11"/>
  <c r="E429" i="11"/>
  <c r="D433" i="11"/>
  <c r="E433" i="11"/>
  <c r="D437" i="11"/>
  <c r="E437" i="11"/>
  <c r="D441" i="11"/>
  <c r="E441" i="11"/>
  <c r="D445" i="11"/>
  <c r="E445" i="11"/>
  <c r="D449" i="11"/>
  <c r="E449" i="11"/>
  <c r="D112" i="11"/>
  <c r="E112" i="11"/>
  <c r="D116" i="11"/>
  <c r="E116" i="11"/>
  <c r="D65" i="11"/>
  <c r="E65" i="11"/>
  <c r="D69" i="11"/>
  <c r="E69" i="11"/>
  <c r="D73" i="11"/>
  <c r="E73" i="11"/>
  <c r="D77" i="11"/>
  <c r="E77" i="11"/>
  <c r="D81" i="11"/>
  <c r="E81" i="11"/>
  <c r="D85" i="11"/>
  <c r="E85" i="11"/>
  <c r="D91" i="11"/>
  <c r="E91" i="11"/>
  <c r="D95" i="11"/>
  <c r="E95" i="11"/>
  <c r="D99" i="11"/>
  <c r="E99" i="11"/>
  <c r="D103" i="11"/>
  <c r="E103" i="11"/>
  <c r="D107" i="11"/>
  <c r="E107" i="11"/>
  <c r="D121" i="11"/>
  <c r="E121" i="11"/>
  <c r="D125" i="11"/>
  <c r="E125" i="11"/>
  <c r="D129" i="11"/>
  <c r="E129" i="11"/>
  <c r="D133" i="11"/>
  <c r="E133" i="11"/>
  <c r="D137" i="11"/>
  <c r="E137" i="11"/>
  <c r="D141" i="11"/>
  <c r="E141" i="11"/>
  <c r="D147" i="11"/>
  <c r="E147" i="11"/>
  <c r="D151" i="11"/>
  <c r="E151" i="11"/>
  <c r="D153" i="11"/>
  <c r="E153" i="11"/>
  <c r="D157" i="11"/>
  <c r="E157" i="11"/>
  <c r="D161" i="11"/>
  <c r="E161" i="11"/>
  <c r="D165" i="11"/>
  <c r="E165" i="11"/>
  <c r="D170" i="11"/>
  <c r="E170" i="11"/>
  <c r="D174" i="11"/>
  <c r="E174" i="11"/>
  <c r="D179" i="11"/>
  <c r="E179" i="11"/>
  <c r="D183" i="11"/>
  <c r="E183" i="11"/>
  <c r="D187" i="11"/>
  <c r="E187" i="11"/>
  <c r="D191" i="11"/>
  <c r="E191" i="11"/>
  <c r="D195" i="11"/>
  <c r="E195" i="11"/>
  <c r="D199" i="11"/>
  <c r="E199" i="11"/>
  <c r="D203" i="11"/>
  <c r="E203" i="11"/>
  <c r="D207" i="11"/>
  <c r="E207" i="11"/>
  <c r="D211" i="11"/>
  <c r="E211" i="11"/>
  <c r="D215" i="11"/>
  <c r="E215" i="11"/>
  <c r="D219" i="11"/>
  <c r="E219" i="11"/>
  <c r="D224" i="11"/>
  <c r="E224" i="11"/>
  <c r="D228" i="11"/>
  <c r="E228" i="11"/>
  <c r="D232" i="11"/>
  <c r="E232" i="11"/>
  <c r="D237" i="11"/>
  <c r="E237" i="11"/>
  <c r="D241" i="11"/>
  <c r="E241" i="11"/>
  <c r="D245" i="11"/>
  <c r="E245" i="11"/>
  <c r="D249" i="11"/>
  <c r="E249" i="11"/>
  <c r="D253" i="11"/>
  <c r="E253" i="11"/>
  <c r="D257" i="11"/>
  <c r="E257" i="11"/>
  <c r="D261" i="11"/>
  <c r="E261" i="11"/>
  <c r="D265" i="11"/>
  <c r="E265" i="11"/>
  <c r="D269" i="11"/>
  <c r="E269" i="11"/>
  <c r="D273" i="11"/>
  <c r="E273" i="11"/>
  <c r="D277" i="11"/>
  <c r="E277" i="11"/>
  <c r="D282" i="11"/>
  <c r="E282" i="11"/>
  <c r="D286" i="11"/>
  <c r="E286" i="11"/>
  <c r="D291" i="11"/>
  <c r="E291" i="11"/>
  <c r="D295" i="11"/>
  <c r="E295" i="11"/>
  <c r="D299" i="11"/>
  <c r="E299" i="11"/>
  <c r="D303" i="11"/>
  <c r="E303" i="11"/>
  <c r="D307" i="11"/>
  <c r="E307" i="11"/>
  <c r="D311" i="11"/>
  <c r="E311" i="11"/>
  <c r="D315" i="11"/>
  <c r="E315" i="11"/>
  <c r="D319" i="11"/>
  <c r="E319" i="11"/>
  <c r="D323" i="11"/>
  <c r="E323" i="11"/>
  <c r="D327" i="11"/>
  <c r="E327" i="11"/>
  <c r="D331" i="11"/>
  <c r="E331" i="11"/>
  <c r="D335" i="11"/>
  <c r="E335" i="11"/>
  <c r="D340" i="11"/>
  <c r="E340" i="11"/>
  <c r="D344" i="11"/>
  <c r="E344" i="11"/>
  <c r="D349" i="11"/>
  <c r="E349" i="11"/>
  <c r="D353" i="11"/>
  <c r="E353" i="11"/>
  <c r="D357" i="11"/>
  <c r="E357" i="11"/>
  <c r="D361" i="11"/>
  <c r="E361" i="11"/>
  <c r="D365" i="11"/>
  <c r="E365" i="11"/>
  <c r="D374" i="11"/>
  <c r="E374" i="11"/>
  <c r="D378" i="11"/>
  <c r="E378" i="11"/>
  <c r="D370" i="11"/>
  <c r="E370" i="11"/>
  <c r="D381" i="11"/>
  <c r="E381" i="11"/>
  <c r="D385" i="11"/>
  <c r="E385" i="11"/>
  <c r="D389" i="11"/>
  <c r="E389" i="11"/>
  <c r="D393" i="11"/>
  <c r="E393" i="11"/>
  <c r="D398" i="11"/>
  <c r="E398" i="11"/>
  <c r="D402" i="11"/>
  <c r="E402" i="11"/>
  <c r="D453" i="11"/>
  <c r="E453" i="11"/>
  <c r="D459" i="11"/>
  <c r="E459" i="11"/>
  <c r="D406" i="11"/>
  <c r="E406" i="11"/>
  <c r="D410" i="11"/>
  <c r="E410" i="11"/>
  <c r="D414" i="11"/>
  <c r="E414" i="11"/>
  <c r="D418" i="11"/>
  <c r="E418" i="11"/>
  <c r="D422" i="11"/>
  <c r="E422" i="11"/>
  <c r="D426" i="11"/>
  <c r="E426" i="11"/>
  <c r="D430" i="11"/>
  <c r="E430" i="11"/>
  <c r="D434" i="11"/>
  <c r="E434" i="11"/>
  <c r="D438" i="11"/>
  <c r="E438" i="11"/>
  <c r="D442" i="11"/>
  <c r="E442" i="11"/>
  <c r="D446" i="11"/>
  <c r="E446" i="11"/>
  <c r="D450" i="11"/>
  <c r="E450" i="11"/>
  <c r="D6" i="11"/>
  <c r="E6" i="11"/>
  <c r="D8" i="11"/>
  <c r="E8" i="11"/>
  <c r="D10" i="11"/>
  <c r="E10" i="11"/>
  <c r="D12" i="11"/>
  <c r="E12" i="11"/>
  <c r="D14" i="11"/>
  <c r="E14" i="11"/>
  <c r="D16" i="11"/>
  <c r="E16" i="11"/>
  <c r="D18" i="11"/>
  <c r="E18" i="11"/>
  <c r="D20" i="11"/>
  <c r="E20" i="11"/>
  <c r="D22" i="11"/>
  <c r="E22" i="11"/>
  <c r="D24" i="11"/>
  <c r="E24" i="11"/>
  <c r="D26" i="11"/>
  <c r="E26" i="11"/>
  <c r="D28" i="11"/>
  <c r="E28" i="11"/>
  <c r="D32" i="11"/>
  <c r="E32" i="11"/>
  <c r="D34" i="11"/>
  <c r="E34" i="11"/>
  <c r="D36" i="11"/>
  <c r="E36" i="11"/>
  <c r="D38" i="11"/>
  <c r="E38" i="11"/>
  <c r="D40" i="11"/>
  <c r="E40" i="11"/>
  <c r="D42" i="11"/>
  <c r="E42" i="11"/>
  <c r="D44" i="11"/>
  <c r="E44" i="11"/>
  <c r="D46" i="11"/>
  <c r="E46" i="11"/>
  <c r="D48" i="11"/>
  <c r="E48" i="11"/>
  <c r="D50" i="11"/>
  <c r="E50" i="11"/>
  <c r="D53" i="11"/>
  <c r="E53" i="11"/>
  <c r="D55" i="11"/>
  <c r="E55" i="11"/>
  <c r="D57" i="11"/>
  <c r="E57" i="11"/>
  <c r="D59" i="11"/>
  <c r="E59" i="11"/>
  <c r="D61" i="11"/>
  <c r="E61" i="11"/>
  <c r="D113" i="11"/>
  <c r="E113" i="11"/>
  <c r="D117" i="11"/>
  <c r="E117" i="11"/>
  <c r="D66" i="11"/>
  <c r="E66" i="11"/>
  <c r="D70" i="11"/>
  <c r="E70" i="11"/>
  <c r="D74" i="11"/>
  <c r="E74" i="11"/>
  <c r="D78" i="11"/>
  <c r="E78" i="11"/>
  <c r="D82" i="11"/>
  <c r="E82" i="11"/>
  <c r="D88" i="11"/>
  <c r="E88" i="11"/>
  <c r="D92" i="11"/>
  <c r="E92" i="11"/>
  <c r="D96" i="11"/>
  <c r="E96" i="11"/>
  <c r="D100" i="11"/>
  <c r="E100" i="11"/>
  <c r="D104" i="11"/>
  <c r="E104" i="11"/>
  <c r="D108" i="11"/>
  <c r="E108" i="11"/>
  <c r="D122" i="11"/>
  <c r="E122" i="11"/>
  <c r="D126" i="11"/>
  <c r="E126" i="11"/>
  <c r="D130" i="11"/>
  <c r="E130" i="11"/>
  <c r="D134" i="11"/>
  <c r="E134" i="11"/>
  <c r="D139" i="11"/>
  <c r="E139" i="11"/>
  <c r="D142" i="11"/>
  <c r="E142" i="11"/>
  <c r="D148" i="11"/>
  <c r="E148" i="11"/>
  <c r="D143" i="11"/>
  <c r="E143" i="11"/>
  <c r="D154" i="11"/>
  <c r="E154" i="11"/>
  <c r="D158" i="11"/>
  <c r="E158" i="11"/>
  <c r="D162" i="11"/>
  <c r="E162" i="11"/>
  <c r="D167" i="11"/>
  <c r="E167" i="11"/>
  <c r="D171" i="11"/>
  <c r="E171" i="11"/>
  <c r="D175" i="11"/>
  <c r="E175" i="11"/>
  <c r="D180" i="11"/>
  <c r="E180" i="11"/>
  <c r="D184" i="11"/>
  <c r="E184" i="11"/>
  <c r="D188" i="11"/>
  <c r="E188" i="11"/>
  <c r="D192" i="11"/>
  <c r="E192" i="11"/>
  <c r="D196" i="11"/>
  <c r="E196" i="11"/>
  <c r="D200" i="11"/>
  <c r="E200" i="11"/>
  <c r="D204" i="11"/>
  <c r="E204" i="11"/>
  <c r="D208" i="11"/>
  <c r="E208" i="11"/>
  <c r="D212" i="11"/>
  <c r="E212" i="11"/>
  <c r="D216" i="11"/>
  <c r="E216" i="11"/>
  <c r="D220" i="11"/>
  <c r="E220" i="11"/>
  <c r="D225" i="11"/>
  <c r="E225" i="11"/>
  <c r="D229" i="11"/>
  <c r="E229" i="11"/>
  <c r="D234" i="11"/>
  <c r="E234" i="11"/>
  <c r="D238" i="11"/>
  <c r="E238" i="11"/>
  <c r="D242" i="11"/>
  <c r="E242" i="11"/>
  <c r="D246" i="11"/>
  <c r="E246" i="11"/>
  <c r="D250" i="11"/>
  <c r="E250" i="11"/>
  <c r="D254" i="11"/>
  <c r="E254" i="11"/>
  <c r="D258" i="11"/>
  <c r="E258" i="11"/>
  <c r="D262" i="11"/>
  <c r="E262" i="11"/>
  <c r="D266" i="11"/>
  <c r="E266" i="11"/>
  <c r="D270" i="11"/>
  <c r="E270" i="11"/>
  <c r="D274" i="11"/>
  <c r="E274" i="11"/>
  <c r="D278" i="11"/>
  <c r="E278" i="11"/>
  <c r="D283" i="11"/>
  <c r="E283" i="11"/>
  <c r="D287" i="11"/>
  <c r="E287" i="11"/>
  <c r="D292" i="11"/>
  <c r="E292" i="11"/>
  <c r="D296" i="11"/>
  <c r="E296" i="11"/>
  <c r="D300" i="11"/>
  <c r="E300" i="11"/>
  <c r="D304" i="11"/>
  <c r="E304" i="11"/>
  <c r="D308" i="11"/>
  <c r="E308" i="11"/>
  <c r="D312" i="11"/>
  <c r="E312" i="11"/>
  <c r="D316" i="11"/>
  <c r="E316" i="11"/>
  <c r="D320" i="11"/>
  <c r="E320" i="11"/>
  <c r="D324" i="11"/>
  <c r="E324" i="11"/>
  <c r="D328" i="11"/>
  <c r="E328" i="11"/>
  <c r="D332" i="11"/>
  <c r="E332" i="11"/>
  <c r="D336" i="11"/>
  <c r="E336" i="11"/>
  <c r="D341" i="11"/>
  <c r="E341" i="11"/>
  <c r="D345" i="11"/>
  <c r="E345" i="11"/>
  <c r="D350" i="11"/>
  <c r="E350" i="11"/>
  <c r="D354" i="11"/>
  <c r="E354" i="11"/>
  <c r="D358" i="11"/>
  <c r="E358" i="11"/>
  <c r="D362" i="11"/>
  <c r="E362" i="11"/>
  <c r="D367" i="11"/>
  <c r="E367" i="11"/>
  <c r="D375" i="11"/>
  <c r="E375" i="11"/>
  <c r="D379" i="11"/>
  <c r="E379" i="11"/>
  <c r="D371" i="11"/>
  <c r="E371" i="11"/>
  <c r="D382" i="11"/>
  <c r="E382" i="11"/>
  <c r="D386" i="11"/>
  <c r="E386" i="11"/>
  <c r="D390" i="11"/>
  <c r="E390" i="11"/>
  <c r="D395" i="11"/>
  <c r="E395" i="11"/>
  <c r="D399" i="11"/>
  <c r="E399" i="11"/>
  <c r="D403" i="11"/>
  <c r="E403" i="11"/>
  <c r="D455" i="11"/>
  <c r="E455" i="11"/>
  <c r="D460" i="11"/>
  <c r="E460" i="11"/>
  <c r="D407" i="11"/>
  <c r="E407" i="11"/>
  <c r="D411" i="11"/>
  <c r="E411" i="11"/>
  <c r="D415" i="11"/>
  <c r="E415" i="11"/>
  <c r="D419" i="11"/>
  <c r="E419" i="11"/>
  <c r="D423" i="11"/>
  <c r="E423" i="11"/>
  <c r="D427" i="11"/>
  <c r="E427" i="11"/>
  <c r="D431" i="11"/>
  <c r="E431" i="11"/>
  <c r="D435" i="11"/>
  <c r="E435" i="11"/>
  <c r="D439" i="11"/>
  <c r="E439" i="11"/>
  <c r="D443" i="11"/>
  <c r="E443" i="11"/>
  <c r="D447" i="11"/>
  <c r="E447" i="11"/>
  <c r="B5" i="5"/>
  <c r="B10" i="5"/>
  <c r="B8" i="5"/>
  <c r="B6" i="5"/>
  <c r="B20" i="5"/>
  <c r="B11" i="1" l="1"/>
  <c r="B10" i="1"/>
  <c r="B41" i="10"/>
  <c r="B40" i="10"/>
  <c r="B39" i="10"/>
  <c r="B38" i="10"/>
  <c r="B37" i="10"/>
  <c r="B36" i="10"/>
  <c r="B5" i="10" l="1"/>
  <c r="B35" i="10" l="1"/>
  <c r="B31" i="10"/>
  <c r="B26" i="10"/>
  <c r="B34" i="10"/>
  <c r="B33" i="10"/>
  <c r="B32" i="10"/>
  <c r="B30" i="10"/>
  <c r="B28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H15" i="12" l="1"/>
  <c r="H14" i="12"/>
  <c r="H13" i="12"/>
  <c r="H12" i="12"/>
  <c r="H11" i="12"/>
  <c r="H10" i="12"/>
  <c r="H9" i="12"/>
  <c r="H8" i="12"/>
  <c r="H7" i="12"/>
  <c r="H6" i="12"/>
  <c r="G15" i="12"/>
  <c r="G14" i="12"/>
  <c r="G13" i="12"/>
  <c r="G12" i="12"/>
  <c r="G11" i="12"/>
  <c r="G10" i="12"/>
  <c r="G9" i="12"/>
  <c r="G8" i="12"/>
  <c r="G7" i="12"/>
  <c r="G6" i="12"/>
  <c r="F15" i="12"/>
  <c r="F14" i="12"/>
  <c r="F13" i="12"/>
  <c r="F12" i="12"/>
  <c r="F11" i="12"/>
  <c r="F10" i="12"/>
  <c r="F9" i="12"/>
  <c r="F8" i="12"/>
  <c r="F7" i="12"/>
  <c r="F6" i="12"/>
  <c r="E15" i="12"/>
  <c r="E14" i="12"/>
  <c r="E13" i="12"/>
  <c r="E12" i="12"/>
  <c r="E11" i="12"/>
  <c r="E10" i="12"/>
  <c r="E9" i="12"/>
  <c r="E8" i="12"/>
  <c r="E7" i="12"/>
  <c r="E6" i="12"/>
  <c r="C15" i="12"/>
  <c r="C14" i="12"/>
  <c r="C13" i="12"/>
  <c r="C12" i="12"/>
  <c r="C11" i="12"/>
  <c r="C10" i="12"/>
  <c r="C9" i="12"/>
  <c r="C8" i="12"/>
  <c r="C7" i="12"/>
  <c r="C6" i="12"/>
  <c r="B13" i="12"/>
  <c r="B12" i="12"/>
  <c r="B11" i="12"/>
  <c r="B10" i="12"/>
  <c r="B9" i="12"/>
  <c r="B8" i="12"/>
  <c r="B7" i="12"/>
  <c r="B6" i="12"/>
  <c r="H54" i="1" l="1"/>
  <c r="G54" i="1"/>
  <c r="F54" i="1"/>
  <c r="E54" i="1"/>
  <c r="H53" i="1"/>
  <c r="G53" i="1"/>
  <c r="F53" i="1"/>
  <c r="E53" i="1"/>
  <c r="H52" i="1"/>
  <c r="G52" i="1"/>
  <c r="F52" i="1"/>
  <c r="E52" i="1"/>
  <c r="H51" i="1"/>
  <c r="G51" i="1"/>
  <c r="F51" i="1"/>
  <c r="E51" i="1"/>
  <c r="H50" i="1"/>
  <c r="G50" i="1"/>
  <c r="F50" i="1"/>
  <c r="E50" i="1"/>
  <c r="H49" i="1"/>
  <c r="G49" i="1"/>
  <c r="F49" i="1"/>
  <c r="E49" i="1"/>
  <c r="H48" i="1"/>
  <c r="G48" i="1"/>
  <c r="F48" i="1"/>
  <c r="E48" i="1"/>
  <c r="H47" i="1"/>
  <c r="G47" i="1"/>
  <c r="F47" i="1"/>
  <c r="E47" i="1"/>
  <c r="D47" i="1"/>
  <c r="H46" i="1"/>
  <c r="G46" i="1"/>
  <c r="F46" i="1"/>
  <c r="E46" i="1"/>
  <c r="D46" i="1"/>
  <c r="H45" i="1"/>
  <c r="G45" i="1"/>
  <c r="F45" i="1"/>
  <c r="E45" i="1"/>
  <c r="D45" i="1"/>
  <c r="H44" i="1"/>
  <c r="G44" i="1"/>
  <c r="F44" i="1"/>
  <c r="E44" i="1"/>
  <c r="D44" i="1"/>
  <c r="H43" i="1"/>
  <c r="G43" i="1"/>
  <c r="F43" i="1"/>
  <c r="E43" i="1"/>
  <c r="D43" i="1"/>
  <c r="H42" i="1"/>
  <c r="G42" i="1"/>
  <c r="F42" i="1"/>
  <c r="E42" i="1"/>
  <c r="D42" i="1"/>
  <c r="H41" i="1"/>
  <c r="G41" i="1"/>
  <c r="F41" i="1"/>
  <c r="E41" i="1"/>
  <c r="D41" i="1"/>
  <c r="H40" i="1"/>
  <c r="G40" i="1"/>
  <c r="F40" i="1"/>
  <c r="E40" i="1"/>
  <c r="D40" i="1"/>
  <c r="C40" i="1"/>
  <c r="H39" i="1"/>
  <c r="G39" i="1"/>
  <c r="F39" i="1"/>
  <c r="E39" i="1"/>
  <c r="D39" i="1"/>
  <c r="C39" i="1"/>
  <c r="H38" i="1"/>
  <c r="F38" i="1"/>
  <c r="E38" i="1"/>
  <c r="D38" i="1"/>
  <c r="C38" i="1"/>
  <c r="H37" i="1"/>
  <c r="G37" i="1"/>
  <c r="F37" i="1"/>
  <c r="E37" i="1"/>
  <c r="D37" i="1"/>
  <c r="C37" i="1"/>
  <c r="H36" i="1"/>
  <c r="G36" i="1"/>
  <c r="F36" i="1"/>
  <c r="E36" i="1"/>
  <c r="D36" i="1"/>
  <c r="C36" i="1"/>
  <c r="H35" i="1"/>
  <c r="G35" i="1"/>
  <c r="F35" i="1"/>
  <c r="E35" i="1"/>
  <c r="D35" i="1"/>
  <c r="C35" i="1"/>
  <c r="H34" i="1"/>
  <c r="G34" i="1"/>
  <c r="F34" i="1"/>
  <c r="E34" i="1"/>
  <c r="D34" i="1"/>
  <c r="C34" i="1"/>
  <c r="H33" i="1"/>
  <c r="G33" i="1"/>
  <c r="F33" i="1"/>
  <c r="E33" i="1"/>
  <c r="D33" i="1"/>
  <c r="C33" i="1"/>
  <c r="H32" i="1"/>
  <c r="G32" i="1"/>
  <c r="F32" i="1"/>
  <c r="E32" i="1"/>
  <c r="D32" i="1"/>
  <c r="C32" i="1"/>
  <c r="H31" i="1"/>
  <c r="G31" i="1"/>
  <c r="F31" i="1"/>
  <c r="E31" i="1"/>
  <c r="D31" i="1"/>
  <c r="C31" i="1"/>
  <c r="H30" i="1"/>
  <c r="G30" i="1"/>
  <c r="F30" i="1"/>
  <c r="E30" i="1"/>
  <c r="D30" i="1"/>
  <c r="C30" i="1"/>
  <c r="H29" i="1"/>
  <c r="G29" i="1"/>
  <c r="F29" i="1"/>
  <c r="E29" i="1"/>
  <c r="D29" i="1"/>
  <c r="C29" i="1"/>
  <c r="H28" i="1"/>
  <c r="G28" i="1"/>
  <c r="F28" i="1"/>
  <c r="E28" i="1"/>
  <c r="D28" i="1"/>
  <c r="C28" i="1"/>
  <c r="H27" i="1"/>
  <c r="G27" i="1"/>
  <c r="F27" i="1"/>
  <c r="E27" i="1"/>
  <c r="D27" i="1"/>
  <c r="C27" i="1"/>
  <c r="H26" i="1"/>
  <c r="G26" i="1"/>
  <c r="F26" i="1"/>
  <c r="E26" i="1"/>
  <c r="D26" i="1"/>
  <c r="C26" i="1"/>
  <c r="H25" i="1"/>
  <c r="G25" i="1"/>
  <c r="F25" i="1"/>
  <c r="E25" i="1"/>
  <c r="D25" i="1"/>
  <c r="C25" i="1"/>
  <c r="H24" i="1"/>
  <c r="F24" i="1"/>
  <c r="E24" i="1"/>
  <c r="D24" i="1"/>
  <c r="C24" i="1"/>
  <c r="H23" i="1"/>
  <c r="G23" i="1"/>
  <c r="F23" i="1"/>
  <c r="E23" i="1"/>
  <c r="D23" i="1"/>
  <c r="C23" i="1"/>
  <c r="B23" i="1"/>
  <c r="H22" i="1"/>
  <c r="F22" i="1"/>
  <c r="E22" i="1"/>
  <c r="D22" i="1"/>
  <c r="C22" i="1"/>
  <c r="B22" i="1"/>
  <c r="H21" i="1"/>
  <c r="F21" i="1"/>
  <c r="E21" i="1"/>
  <c r="D21" i="1"/>
  <c r="C21" i="1"/>
  <c r="B21" i="1"/>
  <c r="H20" i="1"/>
  <c r="G20" i="1"/>
  <c r="F20" i="1"/>
  <c r="E20" i="1"/>
  <c r="D20" i="1"/>
  <c r="C20" i="1"/>
  <c r="B20" i="1"/>
  <c r="H19" i="1"/>
  <c r="G19" i="1"/>
  <c r="F19" i="1"/>
  <c r="E19" i="1"/>
  <c r="D19" i="1"/>
  <c r="C19" i="1"/>
  <c r="B19" i="1"/>
  <c r="H18" i="1"/>
  <c r="G18" i="1"/>
  <c r="F18" i="1"/>
  <c r="E18" i="1"/>
  <c r="D18" i="1"/>
  <c r="C18" i="1"/>
  <c r="B18" i="1"/>
  <c r="H17" i="1"/>
  <c r="G17" i="1"/>
  <c r="F17" i="1"/>
  <c r="E17" i="1"/>
  <c r="D17" i="1"/>
  <c r="C17" i="1"/>
  <c r="B17" i="1"/>
  <c r="H16" i="1"/>
  <c r="G16" i="1"/>
  <c r="F16" i="1"/>
  <c r="E16" i="1"/>
  <c r="D16" i="1"/>
  <c r="C16" i="1"/>
  <c r="B16" i="1"/>
  <c r="H15" i="1"/>
  <c r="G15" i="1"/>
  <c r="F15" i="1"/>
  <c r="E15" i="1"/>
  <c r="D15" i="1"/>
  <c r="C15" i="1"/>
  <c r="B15" i="1"/>
  <c r="H14" i="1"/>
  <c r="G14" i="1"/>
  <c r="F14" i="1"/>
  <c r="E14" i="1"/>
  <c r="D14" i="1"/>
  <c r="C14" i="1"/>
  <c r="B14" i="1"/>
  <c r="H13" i="1"/>
  <c r="G13" i="1"/>
  <c r="F13" i="1"/>
  <c r="E13" i="1"/>
  <c r="D13" i="1"/>
  <c r="C13" i="1"/>
  <c r="B13" i="1"/>
  <c r="H12" i="1"/>
  <c r="G12" i="1"/>
  <c r="F12" i="1"/>
  <c r="E12" i="1"/>
  <c r="D12" i="1"/>
  <c r="C12" i="1"/>
  <c r="B12" i="1"/>
  <c r="H11" i="1"/>
  <c r="G11" i="1"/>
  <c r="F11" i="1"/>
  <c r="E11" i="1"/>
  <c r="D11" i="1"/>
  <c r="C11" i="1"/>
  <c r="H10" i="1"/>
  <c r="G10" i="1"/>
  <c r="F10" i="1"/>
  <c r="E10" i="1"/>
  <c r="D10" i="1"/>
  <c r="C10" i="1"/>
  <c r="H9" i="1"/>
  <c r="G9" i="1"/>
  <c r="F9" i="1"/>
  <c r="E9" i="1"/>
  <c r="D9" i="1"/>
  <c r="C9" i="1"/>
  <c r="B9" i="1"/>
  <c r="H8" i="1"/>
  <c r="G8" i="1"/>
  <c r="F8" i="1"/>
  <c r="E8" i="1"/>
  <c r="D8" i="1"/>
  <c r="C8" i="1"/>
  <c r="B8" i="1"/>
  <c r="H7" i="1"/>
  <c r="G7" i="1"/>
  <c r="F7" i="1"/>
  <c r="E7" i="1"/>
  <c r="D7" i="1"/>
  <c r="C7" i="1"/>
  <c r="B7" i="1"/>
  <c r="H6" i="1"/>
  <c r="G6" i="1"/>
  <c r="F6" i="1"/>
  <c r="E6" i="1"/>
  <c r="D6" i="1"/>
  <c r="C6" i="1"/>
  <c r="B6" i="1"/>
  <c r="H54" i="2"/>
  <c r="G54" i="2"/>
  <c r="F54" i="2"/>
  <c r="E54" i="2"/>
  <c r="H53" i="2"/>
  <c r="G53" i="2"/>
  <c r="F53" i="2"/>
  <c r="E53" i="2"/>
  <c r="H52" i="2"/>
  <c r="G52" i="2"/>
  <c r="F52" i="2"/>
  <c r="E52" i="2"/>
  <c r="H51" i="2"/>
  <c r="G51" i="2"/>
  <c r="F51" i="2"/>
  <c r="E51" i="2"/>
  <c r="H50" i="2"/>
  <c r="G50" i="2"/>
  <c r="F50" i="2"/>
  <c r="E50" i="2"/>
  <c r="H49" i="2"/>
  <c r="G49" i="2"/>
  <c r="F49" i="2"/>
  <c r="E49" i="2"/>
  <c r="H48" i="2"/>
  <c r="G48" i="2"/>
  <c r="F48" i="2"/>
  <c r="E48" i="2"/>
  <c r="H47" i="2"/>
  <c r="G47" i="2"/>
  <c r="F47" i="2"/>
  <c r="E47" i="2"/>
  <c r="D47" i="2"/>
  <c r="H46" i="2"/>
  <c r="G46" i="2"/>
  <c r="F46" i="2"/>
  <c r="E46" i="2"/>
  <c r="D46" i="2"/>
  <c r="H45" i="2"/>
  <c r="G45" i="2"/>
  <c r="F45" i="2"/>
  <c r="E45" i="2"/>
  <c r="D45" i="2"/>
  <c r="H44" i="2"/>
  <c r="G44" i="2"/>
  <c r="F44" i="2"/>
  <c r="E44" i="2"/>
  <c r="D44" i="2"/>
  <c r="H43" i="2"/>
  <c r="G43" i="2"/>
  <c r="F43" i="2"/>
  <c r="E43" i="2"/>
  <c r="D43" i="2"/>
  <c r="H42" i="2"/>
  <c r="G42" i="2"/>
  <c r="F42" i="2"/>
  <c r="E42" i="2"/>
  <c r="D42" i="2"/>
  <c r="H41" i="2"/>
  <c r="G41" i="2"/>
  <c r="F41" i="2"/>
  <c r="E41" i="2"/>
  <c r="D41" i="2"/>
  <c r="H40" i="2"/>
  <c r="G40" i="2"/>
  <c r="F40" i="2"/>
  <c r="E40" i="2"/>
  <c r="D40" i="2"/>
  <c r="C40" i="2"/>
  <c r="H39" i="2"/>
  <c r="G39" i="2"/>
  <c r="F39" i="2"/>
  <c r="E39" i="2"/>
  <c r="D39" i="2"/>
  <c r="C39" i="2"/>
  <c r="H38" i="2"/>
  <c r="F38" i="2"/>
  <c r="E38" i="2"/>
  <c r="D38" i="2"/>
  <c r="C38" i="2"/>
  <c r="H37" i="2"/>
  <c r="G37" i="2"/>
  <c r="F37" i="2"/>
  <c r="E37" i="2"/>
  <c r="D37" i="2"/>
  <c r="C37" i="2"/>
  <c r="H36" i="2"/>
  <c r="G36" i="2"/>
  <c r="F36" i="2"/>
  <c r="E36" i="2"/>
  <c r="D36" i="2"/>
  <c r="C36" i="2"/>
  <c r="H35" i="2"/>
  <c r="G35" i="2"/>
  <c r="F35" i="2"/>
  <c r="E35" i="2"/>
  <c r="D35" i="2"/>
  <c r="C35" i="2"/>
  <c r="H34" i="2"/>
  <c r="G34" i="2"/>
  <c r="F34" i="2"/>
  <c r="E34" i="2"/>
  <c r="D34" i="2"/>
  <c r="C34" i="2"/>
  <c r="H33" i="2"/>
  <c r="G33" i="2"/>
  <c r="F33" i="2"/>
  <c r="E33" i="2"/>
  <c r="D33" i="2"/>
  <c r="C33" i="2"/>
  <c r="H32" i="2"/>
  <c r="G32" i="2"/>
  <c r="F32" i="2"/>
  <c r="E32" i="2"/>
  <c r="D32" i="2"/>
  <c r="C32" i="2"/>
  <c r="H31" i="2"/>
  <c r="G31" i="2"/>
  <c r="F31" i="2"/>
  <c r="E31" i="2"/>
  <c r="D31" i="2"/>
  <c r="C31" i="2"/>
  <c r="H30" i="2"/>
  <c r="G30" i="2"/>
  <c r="F30" i="2"/>
  <c r="E30" i="2"/>
  <c r="D30" i="2"/>
  <c r="C30" i="2"/>
  <c r="H29" i="2"/>
  <c r="G29" i="2"/>
  <c r="F29" i="2"/>
  <c r="E29" i="2"/>
  <c r="D29" i="2"/>
  <c r="C29" i="2"/>
  <c r="H28" i="2"/>
  <c r="G28" i="2"/>
  <c r="F28" i="2"/>
  <c r="E28" i="2"/>
  <c r="D28" i="2"/>
  <c r="C28" i="2"/>
  <c r="H27" i="2"/>
  <c r="G27" i="2"/>
  <c r="F27" i="2"/>
  <c r="E27" i="2"/>
  <c r="D27" i="2"/>
  <c r="C27" i="2"/>
  <c r="H26" i="2"/>
  <c r="G26" i="2"/>
  <c r="F26" i="2"/>
  <c r="E26" i="2"/>
  <c r="D26" i="2"/>
  <c r="C26" i="2"/>
  <c r="H25" i="2"/>
  <c r="G25" i="2"/>
  <c r="F25" i="2"/>
  <c r="E25" i="2"/>
  <c r="D25" i="2"/>
  <c r="C25" i="2"/>
  <c r="H24" i="2"/>
  <c r="F24" i="2"/>
  <c r="E24" i="2"/>
  <c r="D24" i="2"/>
  <c r="C24" i="2"/>
  <c r="H23" i="2"/>
  <c r="G23" i="2"/>
  <c r="F23" i="2"/>
  <c r="E23" i="2"/>
  <c r="D23" i="2"/>
  <c r="C23" i="2"/>
  <c r="B23" i="2"/>
  <c r="H22" i="2"/>
  <c r="F22" i="2"/>
  <c r="E22" i="2"/>
  <c r="D22" i="2"/>
  <c r="C22" i="2"/>
  <c r="B22" i="2"/>
  <c r="H21" i="2"/>
  <c r="F21" i="2"/>
  <c r="E21" i="2"/>
  <c r="D21" i="2"/>
  <c r="C21" i="2"/>
  <c r="B21" i="2"/>
  <c r="H20" i="2"/>
  <c r="G20" i="2"/>
  <c r="F20" i="2"/>
  <c r="E20" i="2"/>
  <c r="D20" i="2"/>
  <c r="C20" i="2"/>
  <c r="B20" i="2"/>
  <c r="H19" i="2"/>
  <c r="G19" i="2"/>
  <c r="F19" i="2"/>
  <c r="E19" i="2"/>
  <c r="D19" i="2"/>
  <c r="C19" i="2"/>
  <c r="B19" i="2"/>
  <c r="H18" i="2"/>
  <c r="G18" i="2"/>
  <c r="F18" i="2"/>
  <c r="E18" i="2"/>
  <c r="D18" i="2"/>
  <c r="C18" i="2"/>
  <c r="B18" i="2"/>
  <c r="H17" i="2"/>
  <c r="G17" i="2"/>
  <c r="F17" i="2"/>
  <c r="E17" i="2"/>
  <c r="D17" i="2"/>
  <c r="C17" i="2"/>
  <c r="B17" i="2"/>
  <c r="H16" i="2"/>
  <c r="G16" i="2"/>
  <c r="F16" i="2"/>
  <c r="E16" i="2"/>
  <c r="D16" i="2"/>
  <c r="C16" i="2"/>
  <c r="B16" i="2"/>
  <c r="H15" i="2"/>
  <c r="G15" i="2"/>
  <c r="F15" i="2"/>
  <c r="E15" i="2"/>
  <c r="D15" i="2"/>
  <c r="C15" i="2"/>
  <c r="B15" i="2"/>
  <c r="H14" i="2"/>
  <c r="G14" i="2"/>
  <c r="F14" i="2"/>
  <c r="E14" i="2"/>
  <c r="D14" i="2"/>
  <c r="C14" i="2"/>
  <c r="B14" i="2"/>
  <c r="H13" i="2"/>
  <c r="G13" i="2"/>
  <c r="F13" i="2"/>
  <c r="E13" i="2"/>
  <c r="D13" i="2"/>
  <c r="C13" i="2"/>
  <c r="B13" i="2"/>
  <c r="H12" i="2"/>
  <c r="G12" i="2"/>
  <c r="F12" i="2"/>
  <c r="E12" i="2"/>
  <c r="D12" i="2"/>
  <c r="C12" i="2"/>
  <c r="B12" i="2"/>
  <c r="H11" i="2"/>
  <c r="G11" i="2"/>
  <c r="F11" i="2"/>
  <c r="E11" i="2"/>
  <c r="D11" i="2"/>
  <c r="C11" i="2"/>
  <c r="B11" i="2"/>
  <c r="H10" i="2"/>
  <c r="G10" i="2"/>
  <c r="F10" i="2"/>
  <c r="E10" i="2"/>
  <c r="D10" i="2"/>
  <c r="C10" i="2"/>
  <c r="B10" i="2"/>
  <c r="H9" i="2"/>
  <c r="G9" i="2"/>
  <c r="F9" i="2"/>
  <c r="E9" i="2"/>
  <c r="D9" i="2"/>
  <c r="C9" i="2"/>
  <c r="B9" i="2"/>
  <c r="H8" i="2"/>
  <c r="F8" i="2"/>
  <c r="E8" i="2"/>
  <c r="D8" i="2"/>
  <c r="C8" i="2"/>
  <c r="B8" i="2"/>
  <c r="H7" i="2"/>
  <c r="G7" i="2"/>
  <c r="F7" i="2"/>
  <c r="E7" i="2"/>
  <c r="D7" i="2"/>
  <c r="C7" i="2"/>
  <c r="B7" i="2"/>
  <c r="H6" i="2"/>
  <c r="G6" i="2"/>
  <c r="F6" i="2"/>
  <c r="E6" i="2"/>
  <c r="D6" i="2"/>
  <c r="C6" i="2"/>
  <c r="B6" i="2"/>
  <c r="B18" i="5" l="1"/>
  <c r="B16" i="5"/>
  <c r="B15" i="5"/>
  <c r="B14" i="5"/>
  <c r="B13" i="5"/>
  <c r="B12" i="5"/>
  <c r="B9" i="5"/>
  <c r="B7" i="5"/>
</calcChain>
</file>

<file path=xl/sharedStrings.xml><?xml version="1.0" encoding="utf-8"?>
<sst xmlns="http://schemas.openxmlformats.org/spreadsheetml/2006/main" count="1082" uniqueCount="1032">
  <si>
    <t>Толщина</t>
  </si>
  <si>
    <t>Полки 2мм</t>
  </si>
  <si>
    <t>Скоба</t>
  </si>
  <si>
    <t>К-100 консоль 100мм</t>
  </si>
  <si>
    <t>К-200 консоль 200мм</t>
  </si>
  <si>
    <t>К-300 консоль 300мм</t>
  </si>
  <si>
    <t>К-400 консоль 400мм</t>
  </si>
  <si>
    <t>К-500 консоль 500мм</t>
  </si>
  <si>
    <t>К-600 консоль 600мм</t>
  </si>
  <si>
    <t>КН-100 кронштейн настенный 100мм</t>
  </si>
  <si>
    <t>КН-200 кронштейн настенный 200мм</t>
  </si>
  <si>
    <t>КН-300 кронштейн настенный 300мм</t>
  </si>
  <si>
    <t>КН-400 кронштейн настенный 400мм</t>
  </si>
  <si>
    <t>КН-500 кронштейн настенный 500мм</t>
  </si>
  <si>
    <t>КН-600 кронштейн настенный 600мм</t>
  </si>
  <si>
    <t>С-120 40*30*120мм стойка</t>
  </si>
  <si>
    <t>С-400 40*30*400мм стойка</t>
  </si>
  <si>
    <t>С-1000 40*30*1000мм стойка</t>
  </si>
  <si>
    <t>С-2000 40*30*2000мм стойка</t>
  </si>
  <si>
    <t>С-3000 40*30*3000мм стойка</t>
  </si>
  <si>
    <t>КПС крепление потолочное для стойки 40*30</t>
  </si>
  <si>
    <t xml:space="preserve">СКП-100 С-кронштейн потолочный для лотка </t>
  </si>
  <si>
    <t xml:space="preserve">СКП-200 С-кронштейн потолочный для лотка </t>
  </si>
  <si>
    <t xml:space="preserve">СКП-300 С-кронштейн потолочный для лотка </t>
  </si>
  <si>
    <t xml:space="preserve">СКП-400 С-кронштейн потолочный для лотка </t>
  </si>
  <si>
    <t xml:space="preserve">СКП-500 С-кронштейн потолочный для лотка </t>
  </si>
  <si>
    <t>Наименование</t>
  </si>
  <si>
    <t>К 239ц (60х40х40) Профиль монтажный зетовый</t>
  </si>
  <si>
    <t>К 241ц (32х40х32) Профиль монтажный зетовый</t>
  </si>
  <si>
    <t>К 237ц Профиль монтажный (50х36)</t>
  </si>
  <si>
    <t xml:space="preserve">К 242ц Профиль монтажный (60х40) </t>
  </si>
  <si>
    <t>К 225ц (80х40) Профиль монтажный</t>
  </si>
  <si>
    <t>К 235ц (60х32) Профиль монтажный</t>
  </si>
  <si>
    <t>К 240ц (60х32) Профиль монтажный</t>
  </si>
  <si>
    <t>К 347ц (32х20) Профиль монтажный</t>
  </si>
  <si>
    <t>Лоток перфорированный</t>
  </si>
  <si>
    <t>ЛП 50*50 лоток перфорированный</t>
  </si>
  <si>
    <t>ЛП 60*40 лоток перфорированный</t>
  </si>
  <si>
    <t>ЛП 100*50 лоток перфорированный</t>
  </si>
  <si>
    <t>ЛП 100*80 лоток перфорированный</t>
  </si>
  <si>
    <t>ЛП 100*100 лоток перфорированный</t>
  </si>
  <si>
    <t>ЛП 150*50 лоток перфорированный</t>
  </si>
  <si>
    <t>ЛП 150*80 лоток перфорированный</t>
  </si>
  <si>
    <t>ЛП 150*100 лоток перфорированный</t>
  </si>
  <si>
    <t>ЛП 150*150 лоток перфорированный</t>
  </si>
  <si>
    <t>ЛП 200*50 лоток перфорированный</t>
  </si>
  <si>
    <t>ЛП 200*80 лоток перфорированный</t>
  </si>
  <si>
    <t>ЛП 200*100 лоток перфорированный</t>
  </si>
  <si>
    <t>ЛП 200*150 лоток перфорированный</t>
  </si>
  <si>
    <t>ЛП 200*200 лоток перфорированный</t>
  </si>
  <si>
    <t>ЛП 250*50 лоток перфорированный</t>
  </si>
  <si>
    <t>ЛП 250*80 лоток перфорированный</t>
  </si>
  <si>
    <t>ЛП 250*100 лоток перфорированный</t>
  </si>
  <si>
    <t>ЛП 600*200 лоток перфорированный</t>
  </si>
  <si>
    <t>ЛП 600*150 лоток перфорированный</t>
  </si>
  <si>
    <t>ЛП 600*100 лоток перфорированный</t>
  </si>
  <si>
    <t>ЛП 600*80 лоток перфорированный</t>
  </si>
  <si>
    <t>ЛП 600*50 лоток перфорированный</t>
  </si>
  <si>
    <t>ЛП 500*200 лоток перфорированный</t>
  </si>
  <si>
    <t>ЛП 500*150 лоток перфорированный</t>
  </si>
  <si>
    <t>ЛП 500*100 лоток перфорированный</t>
  </si>
  <si>
    <t>ЛП 500*80 лоток перфорированный</t>
  </si>
  <si>
    <t>ЛП 500*50 лоток перфорированный</t>
  </si>
  <si>
    <t>ЛП 400*200 лоток перфорированный</t>
  </si>
  <si>
    <t>ЛП 400*150 лоток перфорированный</t>
  </si>
  <si>
    <t>ЛП 400*100 лоток перфорированный</t>
  </si>
  <si>
    <t>ЛП 400*80 лоток перфорированный</t>
  </si>
  <si>
    <t>ЛП 400*50 лоток перфорированный</t>
  </si>
  <si>
    <t>ЛП 300*200 лоток перфорированный</t>
  </si>
  <si>
    <t>ЛП 300*150 лоток перфорированный</t>
  </si>
  <si>
    <t>ЛП 300*100 лоток перфорированный</t>
  </si>
  <si>
    <t>ЛП 300*80 лоток перфорированный</t>
  </si>
  <si>
    <t>ЛП 300*50 лоток перфорированный</t>
  </si>
  <si>
    <t>КЛ50 крышка лотка</t>
  </si>
  <si>
    <t>КЛ100 крышка лотка</t>
  </si>
  <si>
    <t>КЛ150 крышка лотка</t>
  </si>
  <si>
    <t>КЛ200 крышка лотка</t>
  </si>
  <si>
    <t>КЛ250 крышка лотка</t>
  </si>
  <si>
    <t>КЛ300 крышка лотка</t>
  </si>
  <si>
    <t>КЛ400 крышка лотка</t>
  </si>
  <si>
    <t>КЛ500 крышка лотка</t>
  </si>
  <si>
    <t>КЛ600 крышка лотка</t>
  </si>
  <si>
    <t xml:space="preserve">Ответвитель T-образный горизонтальный  </t>
  </si>
  <si>
    <t xml:space="preserve">Ответвитель X-образный горизонтальный  </t>
  </si>
  <si>
    <t>Ваша скидка (впишите цифру)    ▼</t>
  </si>
  <si>
    <t>К 1150ц  УТ 2.5  400мм стойка каб. S=2,0мм</t>
  </si>
  <si>
    <t>К 1151ц  УТ2.5  600мм стойка каб.  S=2,0мм</t>
  </si>
  <si>
    <t>К 1152ц  УТ 2.5  800мм стойка каб.  S=2,0мм</t>
  </si>
  <si>
    <t>К 1153ц  УТ 2.5 1200мм стойка каб.  S=2,0мм</t>
  </si>
  <si>
    <t>К 1154ц  УТ 2.5  1800мм стойка каб.  S=2,0мм</t>
  </si>
  <si>
    <t>К 1155ц  УТ 2.5  2200мм стойка каб.  S=2,0мм</t>
  </si>
  <si>
    <t>К 1160ц УТ 2.5  175мм полка каб.  S=2,0мм</t>
  </si>
  <si>
    <t>К 1161ц УТ 2.5  265мм полка каб.  S=2,0мм</t>
  </si>
  <si>
    <t>К 1162ц УТ 2.5  355мм полка каб.  S=2,0мм</t>
  </si>
  <si>
    <t>К 1163ц УТ 2.5  455мм полка каб.  S=2,0мм</t>
  </si>
  <si>
    <t>К 1157 ц скоба  S=2,0мм</t>
  </si>
  <si>
    <t>Цена, руб с НДС</t>
  </si>
  <si>
    <t>К 1164ц УТ 2.5  630мм полка каб.  S=2,0мм</t>
  </si>
  <si>
    <t>Стойка 2мм</t>
  </si>
  <si>
    <t>Цена, руб с НДС за м.п.</t>
  </si>
  <si>
    <t>L-образный профильс 2,0мм</t>
  </si>
  <si>
    <t>U-образный профиль (швеллер) 2,0мм</t>
  </si>
  <si>
    <t>Z-образный профиль 2,0мм</t>
  </si>
  <si>
    <t>Полоса 2,0мм</t>
  </si>
  <si>
    <t>30х30х30 Профиль монтажный</t>
  </si>
  <si>
    <t>40х40х40 Профиль монтажный</t>
  </si>
  <si>
    <t>ZП 45х25х25 Профиль монтажный зетовый</t>
  </si>
  <si>
    <t>Т3(20*30)1,5мм</t>
  </si>
  <si>
    <t>Траверса монтажная L-3м</t>
  </si>
  <si>
    <t>Т3(20*30)1,2мм</t>
  </si>
  <si>
    <t>Т3(20*30)1,0мм</t>
  </si>
  <si>
    <t>Т3(38*40)1,5мм</t>
  </si>
  <si>
    <t>Т3(38*40)2,0мм</t>
  </si>
  <si>
    <t>L 30х30</t>
  </si>
  <si>
    <t>Т3(15,21)1,0мм</t>
  </si>
  <si>
    <t>Толщина, мм</t>
  </si>
  <si>
    <t>ЛП 100*60 лоток перфорированный</t>
  </si>
  <si>
    <t>ЛП 50*60 лоток перфорированный</t>
  </si>
  <si>
    <t>ЛП 200*60 лоток перфорированный</t>
  </si>
  <si>
    <t>ЛП 300*60 лоток перфорированный</t>
  </si>
  <si>
    <t>ЛП 400*60 лоток перфорированный</t>
  </si>
  <si>
    <t>ЛП 500*60 лоток перфорированный</t>
  </si>
  <si>
    <t>ЛП 100*65 лоток перфорированный</t>
  </si>
  <si>
    <t>ЛП 200*65 лоток перфорированный</t>
  </si>
  <si>
    <t>ЛП 300*65 лоток перфорированный</t>
  </si>
  <si>
    <t>ЛП 400*65 лоток перфорированный</t>
  </si>
  <si>
    <t>ЛП 500*65 лоток перфорированный</t>
  </si>
  <si>
    <t>ЛП 50*35 лоток перфорированный</t>
  </si>
  <si>
    <t>ЛПР 100*35  Лоток проволочный 100х35х3000</t>
  </si>
  <si>
    <t>ЛПР 150*35  Лоток проволочный 150х35х3000</t>
  </si>
  <si>
    <t>ЛПР 200*35  Лоток проволочный 200х35х3000</t>
  </si>
  <si>
    <t>ЛПР 300*35  Лоток проволочный 300х35х3000</t>
  </si>
  <si>
    <t>ЛПР 400*35  Лоток проволочный 400х35х3000</t>
  </si>
  <si>
    <t>ЛПР 500*35  Лоток проволочный 500х35х3000</t>
  </si>
  <si>
    <t>ЛПР 60*60  Лоток проволочный 60х60х3000</t>
  </si>
  <si>
    <t>ЛПР 100*60  Лоток проволочный 100х60х3000</t>
  </si>
  <si>
    <t>ЛПР 150*60  Лоток проволочный 150х60х3000</t>
  </si>
  <si>
    <t>ЛПР 200*60  Лоток проволочный 200х60х3000</t>
  </si>
  <si>
    <t>ЛПР 300*60  Лоток проволочный 300х60х3000</t>
  </si>
  <si>
    <t>ЛПР 400*60  Лоток проволочный 400х60х3000</t>
  </si>
  <si>
    <t>ЛПР 500*60  Лоток проволочный 500х60х3000</t>
  </si>
  <si>
    <t>ЛПР 600*60  Лоток проволочный 600х60х3000</t>
  </si>
  <si>
    <t>ЛПР 100*85  Лоток проволочный 100х85х3000</t>
  </si>
  <si>
    <t>ЛПР 150*85  Лоток проволочный 150х85х3000</t>
  </si>
  <si>
    <t>ЛПР 200*85  Лоток проволочный 200х85х3000</t>
  </si>
  <si>
    <t>ЛПР 300*85  Лоток проволочный 300х85х3000</t>
  </si>
  <si>
    <t>ЛПР 400*85  Лоток проволочный 400х85х3000</t>
  </si>
  <si>
    <t>ЛПР 500*85  Лоток проволочный 500х85х3000</t>
  </si>
  <si>
    <t>ЛПР 600*85  Лоток проволочный 600х85х3000</t>
  </si>
  <si>
    <t>ЛПР 100*105  Лоток проволочный 100х105х3000</t>
  </si>
  <si>
    <t>ЛПР 150*105  Лоток проволочный 150х105х3000</t>
  </si>
  <si>
    <t>ЛПР 200*105  Лоток проволочный 200х105х3000</t>
  </si>
  <si>
    <t>ЛПР 300*105  Лоток проволочный 300х105х3000</t>
  </si>
  <si>
    <t>ЛПР 400*105  Лоток проволочный 400х105х3000</t>
  </si>
  <si>
    <t>ЛПР 500*105  Лоток проволочный 500х105х3000</t>
  </si>
  <si>
    <t>ЛПР 600*105  Лоток проволочный 600х105х3000</t>
  </si>
  <si>
    <t>ЛПРУ 400*60  Лоток проволочный усиленный 400х60х3000</t>
  </si>
  <si>
    <t>ЛПРУ 500*60  Лоток проволочный усиленный 500х60х3000</t>
  </si>
  <si>
    <t>ЛПРУ 600*60  Лоток проволочный усиленный 600х60х3000</t>
  </si>
  <si>
    <t>ЛПРУ 300*85  Лоток проволочный усиленный 300х85х3000</t>
  </si>
  <si>
    <t>ЛПРУ 400*85  Лоток проволочный усиленный 400х85х3000</t>
  </si>
  <si>
    <t>ЛПРУ 500*85  Лоток проволочный усиленный 500х85х3000</t>
  </si>
  <si>
    <t>ЛПРУ 600*85  Лоток проволочный усиленный 600х85х3000</t>
  </si>
  <si>
    <t>ЛПРУ 300*105  Лоток проволочный усиленный 300х105х3000</t>
  </si>
  <si>
    <t>ЛПРУ 400*105  Лоток проволочный усиленный 400х105х3000</t>
  </si>
  <si>
    <t>ЛПРУ 500*105  Лоток проволочный усиленный 500х105х3000</t>
  </si>
  <si>
    <t>ЛПРУ 600*105  Лоток проволочный усиленный 600х105х3000</t>
  </si>
  <si>
    <t xml:space="preserve">СБ  Соединитель безвинтовой </t>
  </si>
  <si>
    <t>СП  Соединитель перфорированный</t>
  </si>
  <si>
    <t>СД  Соединительный комплект (двойной)</t>
  </si>
  <si>
    <t>ФП Фиксаторнная площадка</t>
  </si>
  <si>
    <t>СО  Соединительный комплект (одинарный)</t>
  </si>
  <si>
    <t>Лоток лестничный</t>
  </si>
  <si>
    <t>ЛЛ200*100 Лоток лестничный УТ2,5</t>
  </si>
  <si>
    <t>ЛЛ100*50 Лоток лестничный УТ2,5</t>
  </si>
  <si>
    <t>НЛ-5(2м)</t>
  </si>
  <si>
    <t>НЛ-10(2м)</t>
  </si>
  <si>
    <t>ЛЛ100*80 Лоток лестничный УТ2,5</t>
  </si>
  <si>
    <t>ЛЛ100*100 Лоток лестничный УТ2,5</t>
  </si>
  <si>
    <t>ЛЛ100*60 Лоток лестничный УТ2,5</t>
  </si>
  <si>
    <t>ЛЛ150*50 Лоток лестничный УТ2,5</t>
  </si>
  <si>
    <t>ЛЛ150*60 Лоток лестничный УТ2,5</t>
  </si>
  <si>
    <t>ЛЛ150*80 Лоток лестничный УТ2,5</t>
  </si>
  <si>
    <t>ЛЛ150*100 Лоток лестничный УТ2,5</t>
  </si>
  <si>
    <t>ЛЛ150*150 Лоток лестничный УТ2,5</t>
  </si>
  <si>
    <t>ЛЛ200*50 Лоток лестничный УТ2,5</t>
  </si>
  <si>
    <t>ЛЛ200*60 Лоток лестничный УТ2,5</t>
  </si>
  <si>
    <t>ЛЛ200*80 Лоток лестничный УТ2,5</t>
  </si>
  <si>
    <t>ЛЛ200*150 Лоток лестничный УТ2,5</t>
  </si>
  <si>
    <t>ЛЛ250*50 Лоток лестничный УТ2,5</t>
  </si>
  <si>
    <t>ЛЛ250*60 Лоток лестничный УТ2,5</t>
  </si>
  <si>
    <t>ЛЛ250*80 Лоток лестничный УТ2,5</t>
  </si>
  <si>
    <t>ЛЛ250*100 Лоток лестничный УТ2,5</t>
  </si>
  <si>
    <t>ЛЛ250*150 Лоток лестничный УТ2,5</t>
  </si>
  <si>
    <t>ЛЛ300*50 Лоток лестничный УТ2,5</t>
  </si>
  <si>
    <t>ЛЛ300*60 Лоток лестничный УТ2,5</t>
  </si>
  <si>
    <t>ЛЛ300*80 Лоток лестничный УТ2,5</t>
  </si>
  <si>
    <t>ЛЛ300*100 Лоток лестничный УТ2,5</t>
  </si>
  <si>
    <t>ЛЛ300*150 Лоток лестничный УТ2,5</t>
  </si>
  <si>
    <t>ЛЛ500*50 Лоток лестничный УТ2,5</t>
  </si>
  <si>
    <t>ЛЛ400*50 Лоток лестничный УТ2,5</t>
  </si>
  <si>
    <t>ЛЛ400*60 Лоток лестничный УТ2,5</t>
  </si>
  <si>
    <t>ЛЛ400*80 Лоток лестничный УТ2,5</t>
  </si>
  <si>
    <t>ЛЛ400*100 Лоток лестничный УТ2,5</t>
  </si>
  <si>
    <t>ЛЛ400*150 Лоток лестничный УТ2,5</t>
  </si>
  <si>
    <t>ЛЛ450*150 Лоток лестничный УТ2,5</t>
  </si>
  <si>
    <t>ЛЛ500*60 Лоток лестничный УТ2,5</t>
  </si>
  <si>
    <t>ЛЛ500*80 Лоток лестничный УТ2,5</t>
  </si>
  <si>
    <t>ЛЛ500*100 Лоток лестничный УТ2,5</t>
  </si>
  <si>
    <t>ЛЛ500*150 Лоток лестничный УТ2,5</t>
  </si>
  <si>
    <t>ЛЛ600*50 Лоток лестничный УТ2,5</t>
  </si>
  <si>
    <t>ЛЛ600*60 Лоток лестничный УТ2,5</t>
  </si>
  <si>
    <t>ЛЛ600*80 Лоток лестничный УТ2,5</t>
  </si>
  <si>
    <t>ЛЛ600*100 Лоток лестничный УТ2,5</t>
  </si>
  <si>
    <t>ЛЛ600*150 Лоток лестничный УТ2,5</t>
  </si>
  <si>
    <t>ЛЛ900*150 Лоток лестничный УТ2,5</t>
  </si>
  <si>
    <t>Крышка лотка</t>
  </si>
  <si>
    <t>Системы подвеса</t>
  </si>
  <si>
    <t>КПШ крепление потолочное для шпильки С-обр.</t>
  </si>
  <si>
    <t>К-150 консоль 150мм</t>
  </si>
  <si>
    <t>КН-150 кронштейн настенный 150мм</t>
  </si>
  <si>
    <t>ПКП потолочный кронштейн поворотный</t>
  </si>
  <si>
    <t>С-600 40*30*600мм стойка</t>
  </si>
  <si>
    <t>С-800 40*30*800мм стойка</t>
  </si>
  <si>
    <t>С-1500 40*30*1500мм стойка</t>
  </si>
  <si>
    <t>С-2500 40*30*2500мм стойка</t>
  </si>
  <si>
    <t xml:space="preserve">СМ Станина монтажная </t>
  </si>
  <si>
    <t>Шпилька реьбовая</t>
  </si>
  <si>
    <t>Шпилька резьбовая 6*1000</t>
  </si>
  <si>
    <t>Шпилька резьбовая 6*2000</t>
  </si>
  <si>
    <t>Шпилька резьбовая 8*1000</t>
  </si>
  <si>
    <t>Шпилька резьбовая 8*2000</t>
  </si>
  <si>
    <t>Шпилька резьбовая 10*1000</t>
  </si>
  <si>
    <t>Шпилька резьбовая 10*2000</t>
  </si>
  <si>
    <t>Шпилька резьбовая 12*1000</t>
  </si>
  <si>
    <t>Шпилька резьбовая 12*2000</t>
  </si>
  <si>
    <t>Соденительный комплект</t>
  </si>
  <si>
    <t>Болт+гайка+шайба М6</t>
  </si>
  <si>
    <t xml:space="preserve">Болт </t>
  </si>
  <si>
    <t>Болт 6*12</t>
  </si>
  <si>
    <t>Болт 6*25</t>
  </si>
  <si>
    <t>Болт 6*50</t>
  </si>
  <si>
    <t>Болт 8*25</t>
  </si>
  <si>
    <t>Гайка</t>
  </si>
  <si>
    <t>Гайка М6</t>
  </si>
  <si>
    <t>Гайка М8</t>
  </si>
  <si>
    <t>Гайка М10</t>
  </si>
  <si>
    <t>Шайба</t>
  </si>
  <si>
    <t xml:space="preserve">Шайба М6 </t>
  </si>
  <si>
    <t>Шайба М8</t>
  </si>
  <si>
    <t>Гайка М6 с насечкой</t>
  </si>
  <si>
    <t>Шайба М10</t>
  </si>
  <si>
    <t>Струбцина монтажная</t>
  </si>
  <si>
    <t>Струбцина монтажная М8</t>
  </si>
  <si>
    <t>Струбцина монтажная М10</t>
  </si>
  <si>
    <t>V-кронштейн д/проф.М8 с гайкой</t>
  </si>
  <si>
    <t>V-кронштейн д/проф.М10 с гайкой</t>
  </si>
  <si>
    <t>V-обр. кронштей д/проф.</t>
  </si>
  <si>
    <t>Анкер забивной</t>
  </si>
  <si>
    <t>Анкер забивной М6</t>
  </si>
  <si>
    <t>Анкер забивной М6 латунь</t>
  </si>
  <si>
    <t>Анкер забивной М8</t>
  </si>
  <si>
    <t>Анкер забивной М8 латунь</t>
  </si>
  <si>
    <t>Анкер забивной М10</t>
  </si>
  <si>
    <t>Анкер забивной М10 латунь</t>
  </si>
  <si>
    <t xml:space="preserve">Гайка соеденительная </t>
  </si>
  <si>
    <t>Гайка соеденительная М8</t>
  </si>
  <si>
    <t>Гайка соеденительная М6</t>
  </si>
  <si>
    <t>Гайка соеденительная М10</t>
  </si>
  <si>
    <t>Гайка соеденительная М12</t>
  </si>
  <si>
    <t>Скоба для настенного крепления 100мм</t>
  </si>
  <si>
    <t>Скоба для настенного крепления 200мм</t>
  </si>
  <si>
    <t>Скоба для настенного крепления 300мм</t>
  </si>
  <si>
    <t>Скоба для настенного крепления 400мм</t>
  </si>
  <si>
    <t>Скоба для настенного крепления 500мм</t>
  </si>
  <si>
    <t>ЛГ 50*35 лоток глухой</t>
  </si>
  <si>
    <t>ЛГ 50*50 лоток глухой</t>
  </si>
  <si>
    <t>ЛГ 50*60 лоток глухой</t>
  </si>
  <si>
    <t>ЛГ 60*40 лоток глухой</t>
  </si>
  <si>
    <t>ЛГ 100*50 лоток глухой</t>
  </si>
  <si>
    <t>ЛГ 100*60 лоток глухой</t>
  </si>
  <si>
    <t>ЛГ 100*65 лоток глухой</t>
  </si>
  <si>
    <t>ЛГ 100*80 лоток глухой</t>
  </si>
  <si>
    <t>ЛГ 100*100 лоток глухой</t>
  </si>
  <si>
    <t>ЛГ 150*50 лоток глухой</t>
  </si>
  <si>
    <t>ЛГ 150*80 лоток глухой</t>
  </si>
  <si>
    <t>ЛГ 150*100 лоток глухой</t>
  </si>
  <si>
    <t>ЛГ 150*150 лоток глухой</t>
  </si>
  <si>
    <t>ЛГ 200*50 лоток глухой</t>
  </si>
  <si>
    <t>ЛГ 200*60 лоток глухой</t>
  </si>
  <si>
    <t>ЛГ 200*65 лоток глухой</t>
  </si>
  <si>
    <t>ЛГ 200*80 лоток глухой</t>
  </si>
  <si>
    <t>ЛГ 200*100 лоток глухой</t>
  </si>
  <si>
    <t>ЛГ 200*150 лоток глухой</t>
  </si>
  <si>
    <t>ЛГ 200*200 лоток глухой</t>
  </si>
  <si>
    <t>ЛГ 250*50 лоток глухой</t>
  </si>
  <si>
    <t>ЛГ 250*80 лоток глухой</t>
  </si>
  <si>
    <t>ЛГ 250*100 лоток глухой</t>
  </si>
  <si>
    <t>ЛГ 300*50 лоток глухой</t>
  </si>
  <si>
    <t>ЛГ 300*60 лоток глухой</t>
  </si>
  <si>
    <t>ЛГ 300*65 лоток глухой</t>
  </si>
  <si>
    <t>ЛГ 300*80 лоток глухой</t>
  </si>
  <si>
    <t>ЛГ 300*100 лоток глухой</t>
  </si>
  <si>
    <t>ЛГ 300*150 лоток глухой</t>
  </si>
  <si>
    <t>ЛГ 300*200 лоток глухой</t>
  </si>
  <si>
    <t>ЛГ 400*50 лоток глухой</t>
  </si>
  <si>
    <t>ЛГ 400*60 лоток глухой</t>
  </si>
  <si>
    <t>ЛГ 400*65 лоток глухой</t>
  </si>
  <si>
    <t>ЛГ 400*80 лоток глухой</t>
  </si>
  <si>
    <t>ЛГ 400*100 лоток глухой</t>
  </si>
  <si>
    <t>ЛГ 400*150 лоток глухой</t>
  </si>
  <si>
    <t>ЛГ 400*200 лоток глухой</t>
  </si>
  <si>
    <t>ЛГ 500*50 лоток глухой</t>
  </si>
  <si>
    <t>ЛГ 500*60 лоток глухой</t>
  </si>
  <si>
    <t>ЛГ 500*65 лоток глухой</t>
  </si>
  <si>
    <t>ЛГ 500*80 лоток глухой</t>
  </si>
  <si>
    <t>ЛГ 500*100 лоток глухой</t>
  </si>
  <si>
    <t>ЛГ 500*150 лоток глухой</t>
  </si>
  <si>
    <t>ЛГ 500*200 лоток глухой</t>
  </si>
  <si>
    <t>ЛГ 600*50 лоток глухой</t>
  </si>
  <si>
    <t>ЛГ 600*80 лоток глухой</t>
  </si>
  <si>
    <t>ЛГ 600*100 лоток глухой</t>
  </si>
  <si>
    <t>ЛГ 600*150 лоток глухой</t>
  </si>
  <si>
    <t>ЛГ 600*200 лоток глухой</t>
  </si>
  <si>
    <t>КЛ60 крышка лотка</t>
  </si>
  <si>
    <t>ПП40 (К-107) 40мм полоса</t>
  </si>
  <si>
    <t>ПП30 30мм полоса</t>
  </si>
  <si>
    <t>Ключ</t>
  </si>
  <si>
    <t>Ключ К1156</t>
  </si>
  <si>
    <t>УП 90°50*35 плоский</t>
  </si>
  <si>
    <t>УП 90°50*50 плоский</t>
  </si>
  <si>
    <t>УП 90°60*40 плоский</t>
  </si>
  <si>
    <t>УП 90°100*50 плоский</t>
  </si>
  <si>
    <t>УП 90°100*80 плоский</t>
  </si>
  <si>
    <t>УП 90°100*100 плоский</t>
  </si>
  <si>
    <t>УП 90°150*50 плоский</t>
  </si>
  <si>
    <t>УП 90°150*80 плоский</t>
  </si>
  <si>
    <t>УП 90°150*100 плоский</t>
  </si>
  <si>
    <t>УП 90°150*150 плоский</t>
  </si>
  <si>
    <t>УП 90°200*50 плоский</t>
  </si>
  <si>
    <t>УП 90°200*80 плоский</t>
  </si>
  <si>
    <t>УП 90°200*100 плоский</t>
  </si>
  <si>
    <t>УП 90°200*150 плоский</t>
  </si>
  <si>
    <t>УП 90°200*200 плоский</t>
  </si>
  <si>
    <t>УП 90°250*50 плоский</t>
  </si>
  <si>
    <t>УП 90°250*80 плоский</t>
  </si>
  <si>
    <t>УП 90°250*100 плоский</t>
  </si>
  <si>
    <t>УП 90°250*150 плоский</t>
  </si>
  <si>
    <t>УП 90°250*200 плоский</t>
  </si>
  <si>
    <t>УП 90°300*50 плоский</t>
  </si>
  <si>
    <t>УП 90°300*80 плоский</t>
  </si>
  <si>
    <t>УП 90°300*100 плоский</t>
  </si>
  <si>
    <t>УП 90°300*150 плоский</t>
  </si>
  <si>
    <t>УП 90°300*200 плоский</t>
  </si>
  <si>
    <t>УП 90°400*50 плоский</t>
  </si>
  <si>
    <t>УП 90°400*80 плоский</t>
  </si>
  <si>
    <t>УП 90°400*100 плоский</t>
  </si>
  <si>
    <t>УП 90°400*150 плоский</t>
  </si>
  <si>
    <t>УП 90°400*200 плоский</t>
  </si>
  <si>
    <t>УП 90°500*50 плоский</t>
  </si>
  <si>
    <t>УП 90°500*80 плоский</t>
  </si>
  <si>
    <t>УП 90°500*100 плоский</t>
  </si>
  <si>
    <t>УП 90°500*150 плоский</t>
  </si>
  <si>
    <t>УП 90°500*200 плоский</t>
  </si>
  <si>
    <t>КУП 90° 50  крышка угла плоского</t>
  </si>
  <si>
    <t>КУП 90° 100  крышка угла плоского</t>
  </si>
  <si>
    <t>КУП 90° 150  крышка угла плоского</t>
  </si>
  <si>
    <t>КУП 90° 200  крышка угла плоского</t>
  </si>
  <si>
    <t>КУП 90° 250  крышка угла плоского</t>
  </si>
  <si>
    <t>КУП 90° 300  крышка угла плоского</t>
  </si>
  <si>
    <t>КУП 90° 400  крышка угла плоского</t>
  </si>
  <si>
    <t>КУП 90° 500  крышка угла плоского</t>
  </si>
  <si>
    <t>УП 45°50*50 плоский</t>
  </si>
  <si>
    <t>УП 45°100*50 плоский</t>
  </si>
  <si>
    <t>УП 45°100*80 плоский</t>
  </si>
  <si>
    <t>УП 45°100*100 плоский</t>
  </si>
  <si>
    <t>УП 45°150*50 плоский</t>
  </si>
  <si>
    <t>УП 45°150*80 плоский</t>
  </si>
  <si>
    <t>УП 45°150*100 плоский</t>
  </si>
  <si>
    <t>УП 45°150*150 плоский</t>
  </si>
  <si>
    <t>УП 45°200*50 плоский</t>
  </si>
  <si>
    <t>УП 45°200*80 плоский</t>
  </si>
  <si>
    <t>УП 45°200*100 плоский</t>
  </si>
  <si>
    <t>УП 45°200*150 плоский</t>
  </si>
  <si>
    <t>УП 45°200*200 плоский</t>
  </si>
  <si>
    <t>УП 45°250*50 плоский</t>
  </si>
  <si>
    <t>УП 45°250*80 плоский</t>
  </si>
  <si>
    <t>УП 45°250*100 плоский</t>
  </si>
  <si>
    <t>УП 45°250*150 плоский</t>
  </si>
  <si>
    <t>УП 45°250*200 плоский</t>
  </si>
  <si>
    <t>УП 45°300*50 плоский</t>
  </si>
  <si>
    <t>УП 45°300*80 плоский</t>
  </si>
  <si>
    <t>УП 45°300*100 плоский</t>
  </si>
  <si>
    <t>УП 45°300*150 плоский</t>
  </si>
  <si>
    <t>УП 45°300*200 плоский</t>
  </si>
  <si>
    <t>УП 45°400*50 плоский</t>
  </si>
  <si>
    <t>УП 45°400*80 плоский</t>
  </si>
  <si>
    <t>УП 45°400*100 плоский</t>
  </si>
  <si>
    <t>УП 45°400*150 плоский</t>
  </si>
  <si>
    <t>УП 45°400*200 плоский</t>
  </si>
  <si>
    <t>УП 45°500*50 плоский</t>
  </si>
  <si>
    <t>УП 45°500*80 плоский</t>
  </si>
  <si>
    <t>УП 45°500*100 плоский</t>
  </si>
  <si>
    <t>УП 45°500*150 плоский</t>
  </si>
  <si>
    <t>УП 45°500*200 плоский</t>
  </si>
  <si>
    <t>КУП 45° 50  крышка угла плоского</t>
  </si>
  <si>
    <t>КУП 45° 100  крышка угла плоского</t>
  </si>
  <si>
    <t>КУП 45° 150  крышка угла плоского</t>
  </si>
  <si>
    <t>КУП 45° 200  крышка угла плоского</t>
  </si>
  <si>
    <t>КУП 45° 250  крышка угла плоского</t>
  </si>
  <si>
    <t>КУП 45° 300  крышка угла плоского</t>
  </si>
  <si>
    <t>КУП 45° 400  крышка угла плоского</t>
  </si>
  <si>
    <t>КУП 45° 500  крышка угла плоского</t>
  </si>
  <si>
    <t>УН 90°50*50 угол вертикальный внешний</t>
  </si>
  <si>
    <t>УН 90°100*50 угол вертикальный внешний</t>
  </si>
  <si>
    <t>УН 90°100*80 угол вертикальный внешний</t>
  </si>
  <si>
    <t>УН 90°100*100 угол вертикальный внешний</t>
  </si>
  <si>
    <t>УН 90°150*50 угол вертикальный внешний</t>
  </si>
  <si>
    <t>УН 90°150*80 угол вертикальный внешний</t>
  </si>
  <si>
    <t>УН 90°150*100 угол вертикальный внешний</t>
  </si>
  <si>
    <t>УН 90°150*150 угол вертикальный внешний</t>
  </si>
  <si>
    <t>УН 90°200*50 угол вертикальный внешний</t>
  </si>
  <si>
    <t>УН 90°200*80 угол вертикальный внешний</t>
  </si>
  <si>
    <t>УН 90°200*100 угол вертикальный внешний</t>
  </si>
  <si>
    <t>УН 90°200*150 угол вертикальный внешний</t>
  </si>
  <si>
    <t>УН 90°200*200 угол вертикальный внешний</t>
  </si>
  <si>
    <t>УН 90°250*50 угол вертикальный внешний</t>
  </si>
  <si>
    <t>УН 90°250*80 угол вертикальный внешний</t>
  </si>
  <si>
    <t>УН 90°250*100 угол вертикальный внешний</t>
  </si>
  <si>
    <t>УН 90°250*150 угол вертикальный внешний</t>
  </si>
  <si>
    <t>УН 90°250*200 угол вертикальный внешний</t>
  </si>
  <si>
    <t>УН 90°300*50 угол вертикальный внешний</t>
  </si>
  <si>
    <t>УН 90°300*80 угол вертикальный внешний</t>
  </si>
  <si>
    <t>УН 90°300*100 угол вертикальный внешний</t>
  </si>
  <si>
    <t>УН 90°300*150 угол вертикальный внешний</t>
  </si>
  <si>
    <t>УН 90°300*200 угол вертикальный внешний</t>
  </si>
  <si>
    <t>УН 90°400*50 угол вертикальный внешний</t>
  </si>
  <si>
    <t>УН 90°400*80 угол вертикальный внешний</t>
  </si>
  <si>
    <t>УН 90°400*100 угол вертикальный внешний</t>
  </si>
  <si>
    <t>УН 90°400*150 угол вертикальный внешний</t>
  </si>
  <si>
    <t>УН 90°400*200 угол вертикальный внешний</t>
  </si>
  <si>
    <t>УН 90°500*50 угол вертикальный внешний</t>
  </si>
  <si>
    <t>УН 90°500*80 угол вертикальный внешний</t>
  </si>
  <si>
    <t>УН 90°500*100 угол вертикальный внешний</t>
  </si>
  <si>
    <t>УН 90°500*150 угол вертикальный внешний</t>
  </si>
  <si>
    <t>УН 90°500*200 угол вертикальный внешний</t>
  </si>
  <si>
    <t>УН 45°50*50 угол вертикальный внешний</t>
  </si>
  <si>
    <t>УН 45°100*50 угол вертикальный внешний</t>
  </si>
  <si>
    <t>УН 45°100*80 угол вертикальный внешний</t>
  </si>
  <si>
    <t>УН 45°100*100 угол вертикальный внешний</t>
  </si>
  <si>
    <t>УН 45°150*50 угол вертикальный внешний</t>
  </si>
  <si>
    <t>УН 45°150*80 угол вертикальный внешний</t>
  </si>
  <si>
    <t>УН 45°150*100 угол вертикальный внешний</t>
  </si>
  <si>
    <t>УН 45°150*150 угол вертикальный внешний</t>
  </si>
  <si>
    <t>УН 45°200*50 угол вертикальный внешний</t>
  </si>
  <si>
    <t>УН 45°200*80 угол вертикальный внешний</t>
  </si>
  <si>
    <t>УН 45°200*100 угол вертикальный внешний</t>
  </si>
  <si>
    <t>УН 45°200*150 угол вертикальный внешний</t>
  </si>
  <si>
    <t>УН 45°200*200 угол вертикальный внешний</t>
  </si>
  <si>
    <t>УН 45°250*50 угол вертикальный внешний</t>
  </si>
  <si>
    <t>УН 45°250*80 угол вертикальный внешний</t>
  </si>
  <si>
    <t>УН 45°250*100 угол вертикальный внешний</t>
  </si>
  <si>
    <t>УН 45°250*150 угол вертикальный внешний</t>
  </si>
  <si>
    <t>УН 45°250*200 угол вертикальный внешний</t>
  </si>
  <si>
    <t>УН 45°300*50 угол вертикальный внешний</t>
  </si>
  <si>
    <t>УН 45°300*80 угол вертикальный внешний</t>
  </si>
  <si>
    <t>УН 45°300*100 угол вертикальный внешний</t>
  </si>
  <si>
    <t>УН 45°300*150 угол вертикальный внешний</t>
  </si>
  <si>
    <t>УН 45°300*200 угол вертикальный внешний</t>
  </si>
  <si>
    <t>УН 45°400*50 угол вертикальный внешний</t>
  </si>
  <si>
    <t>УН 45°400*80 угол вертикальный внешний</t>
  </si>
  <si>
    <t>УН 45°400*100 угол вертикальный внешний</t>
  </si>
  <si>
    <t>УН 45°400*150 угол вертикальный внешний</t>
  </si>
  <si>
    <t>УН 45°400*200 угол вертикальный внешний</t>
  </si>
  <si>
    <t>УН 45°500*50 угол вертикальный внешний</t>
  </si>
  <si>
    <t>УН 45°500*80 угол вертикальный внешний</t>
  </si>
  <si>
    <t>УН 45°500*100 угол вертикальный внешний</t>
  </si>
  <si>
    <t>УН 45°500*150 угол вертикальный внешний</t>
  </si>
  <si>
    <t>УН 45°500*200 угол вертикальный внешний</t>
  </si>
  <si>
    <t>УВ 90°50*50 угол вертикальный внутренний</t>
  </si>
  <si>
    <t>УВ 90°100*50 угол вертикальный внутренний</t>
  </si>
  <si>
    <t>УВ 90°100*80 угол вертикальный внутренний</t>
  </si>
  <si>
    <t>УВ 90°100*100 угол вертикальный внутренний</t>
  </si>
  <si>
    <t>УВ 90°150*50 угол вертикальный внутренний</t>
  </si>
  <si>
    <t>УВ 90°150*80 угол вертикальный внутренний</t>
  </si>
  <si>
    <t>УВ 90°150*100 угол вертикальный внутренний</t>
  </si>
  <si>
    <t>УВ 90°150*150 угол вертикальный внутренний</t>
  </si>
  <si>
    <t>УВ 90°200*50 угол вертикальный внутренний</t>
  </si>
  <si>
    <t>УВ 90°200*80 угол вертикальный внутренний</t>
  </si>
  <si>
    <t>УВ 90°200*100 угол вертикальный внутренний</t>
  </si>
  <si>
    <t>УВ 90°200*150 угол вертикальный внутренний</t>
  </si>
  <si>
    <t>УВ 90°200*200 угол вертикальный внутренний</t>
  </si>
  <si>
    <t>УВ 90°250*50 угол вертикальный внутренний</t>
  </si>
  <si>
    <t>УВ 90°250*80 угол вертикальный внутренний</t>
  </si>
  <si>
    <t>УВ 90°250*100 угол вертикальный внутренний</t>
  </si>
  <si>
    <t>УВ 90°250*150 угол вертикальный внутренний</t>
  </si>
  <si>
    <t>УВ 90°250*200 угол вертикальный внутренний</t>
  </si>
  <si>
    <t>УВ 90°300*50 угол вертикальный внутренний</t>
  </si>
  <si>
    <t>УВ 90°300*80 угол вертикальный внутренний</t>
  </si>
  <si>
    <t>УВ 90°300*100 угол вертикальный внутренний</t>
  </si>
  <si>
    <t>УВ 90°300*150 угол вертикальный внутренний</t>
  </si>
  <si>
    <t>УВ 90°300*200 угол вертикальный внутренний</t>
  </si>
  <si>
    <t>УВ 90°400*50 угол вертикальный внутренний</t>
  </si>
  <si>
    <t>УВ 90°400*80 угол вертикальный внутренний</t>
  </si>
  <si>
    <t>УВ 90°400*100 угол вертикальный внутренний</t>
  </si>
  <si>
    <t>УВ 90°400*150 угол вертикальный внутренний</t>
  </si>
  <si>
    <t>УВ 90°400*200 угол вертикальный внутренний</t>
  </si>
  <si>
    <t>УВ 90°500*50 угол вертикальный внутренний</t>
  </si>
  <si>
    <t>УВ 90°500*80 угол вертикальный внутренний</t>
  </si>
  <si>
    <t>УВ 90°500*100 угол вертикальный внутренний</t>
  </si>
  <si>
    <t>УВ 90°500*150 угол вертикальный внутренний</t>
  </si>
  <si>
    <t>УВ 90°500*200 угол вертикальный внутренний</t>
  </si>
  <si>
    <t>КУВ 90° 50  крышка угла вертикального внутреннего</t>
  </si>
  <si>
    <t>КУВ 90° 100  крышка угла вертикального внутреннего</t>
  </si>
  <si>
    <t>КУВ 90° 150  крышка угла вертикального внутреннего</t>
  </si>
  <si>
    <t>КУВ 90° 200  крышка угла вертикального внутреннего</t>
  </si>
  <si>
    <t>КУВ 90° 250  крышка угла вертикального внутреннего</t>
  </si>
  <si>
    <t>КУВ 90° 300  крышка угла вертикального внутреннего</t>
  </si>
  <si>
    <t>КУВ 90° 400  крышка угла вертикального внутреннего</t>
  </si>
  <si>
    <t>КУВ 90° 500  крышка угла вертикального внутреннего</t>
  </si>
  <si>
    <t>УВ 45°50*50 угол вертикальный внутренний</t>
  </si>
  <si>
    <t>УВ 45°100*50 угол вертикальный внутренний</t>
  </si>
  <si>
    <t>УВ 45°100*80 угол вертикальный внутренний</t>
  </si>
  <si>
    <t>УВ 45°100*100 угол вертикальный внутренний</t>
  </si>
  <si>
    <t>УВ 45°150*50 угол вертикальный внутренний</t>
  </si>
  <si>
    <t>УВ 45°150*80 угол вертикальный внутренний</t>
  </si>
  <si>
    <t>УВ 45°150*100 угол вертикальный внутренний</t>
  </si>
  <si>
    <t>УВ 45°150*150 угол вертикальный внутренний</t>
  </si>
  <si>
    <t>УВ 45°200*50 угол вертикальный внутренний</t>
  </si>
  <si>
    <t>УВ 45°200*80 угол вертикальный внутренний</t>
  </si>
  <si>
    <t>УВ 45°200*100 угол вертикальный внутренний</t>
  </si>
  <si>
    <t>УВ 45°200*150 угол вертикальный внутренний</t>
  </si>
  <si>
    <t>УВ 45°200*200 угол вертикальный внутренний</t>
  </si>
  <si>
    <t>УВ 45°250*50 угол вертикальный внутренний</t>
  </si>
  <si>
    <t>УВ 45°250*80 угол вертикальный внутренний</t>
  </si>
  <si>
    <t>УВ 45°250*100 угол вертикальный внутренний</t>
  </si>
  <si>
    <t>УВ 45°250*150 угол вертикальный внутренний</t>
  </si>
  <si>
    <t>УВ 45°250*200 угол вертикальный внутренний</t>
  </si>
  <si>
    <t>УВ 45°300*50 угол вертикальный внутренний</t>
  </si>
  <si>
    <t>УВ 45°300*80 угол вертикальный внутренний</t>
  </si>
  <si>
    <t>УВ 45°300*100 угол вертикальный внутренний</t>
  </si>
  <si>
    <t>УВ 45°300*150 угол вертикальный внутренний</t>
  </si>
  <si>
    <t>УВ 45°300*200 угол вертикальный внутренний</t>
  </si>
  <si>
    <t>УВ 45°400*50 угол вертикальный внутренний</t>
  </si>
  <si>
    <t>УВ 45°400*80 угол вертикальный внутренний</t>
  </si>
  <si>
    <t>УВ 45°400*100 угол вертикальный внутренний</t>
  </si>
  <si>
    <t>УВ 45°400*150 угол вертикальный внутренний</t>
  </si>
  <si>
    <t>УВ 45°400*200 угол вертикальный внутренний</t>
  </si>
  <si>
    <t>УВ 45°500*50 угол вертикальный внутренний</t>
  </si>
  <si>
    <t>УВ 45°500*80 угол вертикальный внутренний</t>
  </si>
  <si>
    <t>УВ 45°500*100 угол вертикальный внутренний</t>
  </si>
  <si>
    <t>УВ 45°500*150 угол вертикальный внутренний</t>
  </si>
  <si>
    <t>УВ 45°500*200 угол вертикальный внутренний</t>
  </si>
  <si>
    <t>КУВ 45° 50  крышка угла вертикального внутреннего</t>
  </si>
  <si>
    <t>КУВ 45° 100  крышка угла вертикального внутреннего</t>
  </si>
  <si>
    <t>КУВ 45° 150  крышка угла вертикального внутреннего</t>
  </si>
  <si>
    <t>КУВ 45° 200  крышка угла вертикального внутреннего</t>
  </si>
  <si>
    <t>КУВ 45° 250  крышка угла вертикального внутреннего</t>
  </si>
  <si>
    <t>КУВ 45° 300  крышка угла вертикального внутреннего</t>
  </si>
  <si>
    <t>КУВ 45° 400  крышка угла вертикального внутреннего</t>
  </si>
  <si>
    <t>КУВ 45° 500  крышка угла вертикального внутреннего</t>
  </si>
  <si>
    <t>Т 50*50 ответвитель Т-образный</t>
  </si>
  <si>
    <t>Т 100*50 ответвитель Т-образный</t>
  </si>
  <si>
    <t>Т 100*80 ответвитель Т-образный</t>
  </si>
  <si>
    <t>Т 100*100 ответвитель Т-образный</t>
  </si>
  <si>
    <t>Т 150*50 ответвитель Т-образный</t>
  </si>
  <si>
    <t>Т 150*80 ответвитель Т-образный</t>
  </si>
  <si>
    <t>Т 150*100 ответвитель Т-образный</t>
  </si>
  <si>
    <t>Т 150*150 ответвитель Т-образный</t>
  </si>
  <si>
    <t>Т 200*50 ответвитель Т-образный</t>
  </si>
  <si>
    <t>Т 200*80 ответвитель Т-образный</t>
  </si>
  <si>
    <t>Т 200*100 ответвитель Т-образный</t>
  </si>
  <si>
    <t>Т 200*150 ответвитель Т-образный</t>
  </si>
  <si>
    <t>Т 200*200 ответвитель Т-образный</t>
  </si>
  <si>
    <t>Т 250*50 ответвитель Т-образный</t>
  </si>
  <si>
    <t>Т 250*80 ответвитель Т-образный</t>
  </si>
  <si>
    <t>Т 250*100 ответвитель Т-образный</t>
  </si>
  <si>
    <t>Т 250*150 ответвитель Т-образный</t>
  </si>
  <si>
    <t>Т 250*200 ответвитель Т-образный</t>
  </si>
  <si>
    <t>Т 300*50 ответвитель Т-образный</t>
  </si>
  <si>
    <t>Т 300*80 ответвитель Т-образный</t>
  </si>
  <si>
    <t>Т 300*100 ответвитель Т-образный</t>
  </si>
  <si>
    <t>Т 300*150 ответвитель Т-образный</t>
  </si>
  <si>
    <t>Т 300*200 ответвитель Т-образный</t>
  </si>
  <si>
    <t>Т 400*50 ответвитель Т-образный</t>
  </si>
  <si>
    <t>Т 400*80 ответвитель Т-образный</t>
  </si>
  <si>
    <t>Т 400*100 ответвитель Т-образный</t>
  </si>
  <si>
    <t>Т 400*150 ответвитель Т-образный</t>
  </si>
  <si>
    <t>Т 400*200 ответвитель Т-образный</t>
  </si>
  <si>
    <t>Т 500*50 ответвитель Т-образный</t>
  </si>
  <si>
    <t>Т 500*80 ответвитель Т-образный</t>
  </si>
  <si>
    <t>Т 500*100 ответвитель Т-образный</t>
  </si>
  <si>
    <t>Т 500*150 ответвитель Т-образный</t>
  </si>
  <si>
    <t>Т 500*200 ответвитель Т-образный</t>
  </si>
  <si>
    <t>КТ 50  крышка Т-образного ответвителя</t>
  </si>
  <si>
    <t>КТ 100  крышка Т-образного ответвителя</t>
  </si>
  <si>
    <t>КТ 150  крышка Т-образного ответвителя</t>
  </si>
  <si>
    <t>КТ 200  крышка Т-образного ответвителя</t>
  </si>
  <si>
    <t>КТ 250  крышка Т-образного ответвителя</t>
  </si>
  <si>
    <t>КТ 300  крышка Т-образного ответвителя</t>
  </si>
  <si>
    <t>КТ 400  крышка Т-образного ответвителя</t>
  </si>
  <si>
    <t>КТ 500  крышка Т-образного ответвителя</t>
  </si>
  <si>
    <t>Х 50*50 ответвитель X-образный</t>
  </si>
  <si>
    <t>Х 100*50 ответвитель X-образный</t>
  </si>
  <si>
    <t>Х 100*80 ответвитель X-образный</t>
  </si>
  <si>
    <t>Х 100*100 ответвитель X-образный</t>
  </si>
  <si>
    <t>Х 150*50 ответвитель X-образный</t>
  </si>
  <si>
    <t>Х 150*80 ответвитель X-образный</t>
  </si>
  <si>
    <t>Х 150*100 ответвитель X-образный</t>
  </si>
  <si>
    <t>Х 150*150 ответвитель X-образный</t>
  </si>
  <si>
    <t>Х 200*50 ответвитель X-образный</t>
  </si>
  <si>
    <t>Х 200*80 ответвитель X-образный</t>
  </si>
  <si>
    <t>Х 200*100 ответвитель X-образный</t>
  </si>
  <si>
    <t>Х 200*150 ответвитель X-образный</t>
  </si>
  <si>
    <t>Х 200*200 ответвитель X-образный</t>
  </si>
  <si>
    <t>Х 250*50 ответвитель X-образный</t>
  </si>
  <si>
    <t>Х 250*80 ответвитель X-образный</t>
  </si>
  <si>
    <t>Х 250*100 ответвитель X-образный</t>
  </si>
  <si>
    <t>Х 250*150 ответвитель X-образный</t>
  </si>
  <si>
    <t>Х 250*200 ответвитель X-образный</t>
  </si>
  <si>
    <t>Х 300*50 ответвитель X-образный</t>
  </si>
  <si>
    <t>Х 300*80 ответвитель X-образный</t>
  </si>
  <si>
    <t>Х 300*100 ответвитель X-образный</t>
  </si>
  <si>
    <t>Х 300*150 ответвитель X-образный</t>
  </si>
  <si>
    <t>Х 300*200 ответвитель X-образный</t>
  </si>
  <si>
    <t>Х 400*50 ответвитель X-образный</t>
  </si>
  <si>
    <t>Х 400*80 ответвитель X-образный</t>
  </si>
  <si>
    <t>Х 400*100 ответвитель X-образный</t>
  </si>
  <si>
    <t>Х 400*150 ответвитель X-образный</t>
  </si>
  <si>
    <t>Х 400*200 ответвитель X-образный</t>
  </si>
  <si>
    <t>Х 500*50 ответвитель X-образный</t>
  </si>
  <si>
    <t>Х 500*80 ответвитель X-образный</t>
  </si>
  <si>
    <t>Х 500*100 ответвитель X-образный</t>
  </si>
  <si>
    <t>Х 500*150 ответвитель X-образный</t>
  </si>
  <si>
    <t>Х 500*200 ответвитель X-образный</t>
  </si>
  <si>
    <t>КХ 50 крышка  Х-образного ответвителя</t>
  </si>
  <si>
    <t>КХ 100 крышка  Х-образного ответвителя</t>
  </si>
  <si>
    <t>КХ 150 крышка  Х-образного ответвителя</t>
  </si>
  <si>
    <t>КХ 200 крышка  Х-образного ответвителя</t>
  </si>
  <si>
    <t>КХ 250 крышка  Х-образного ответвителя</t>
  </si>
  <si>
    <t>КХ 300 крышка  Х-образного ответвителя</t>
  </si>
  <si>
    <t>КХ 400 крышка  Х-образного ответвителя</t>
  </si>
  <si>
    <t>КХ 500 крышка  Х-образного ответвителя</t>
  </si>
  <si>
    <t>ПЛ 100/50*50  переходник левый</t>
  </si>
  <si>
    <t>ПЛ 150/100*50  переходник левый</t>
  </si>
  <si>
    <t>ПЛ 200/100*50  переходник левый</t>
  </si>
  <si>
    <t>ПЛ 200/150*50  переходник левый</t>
  </si>
  <si>
    <t>ПЛ 300/100*50  переходник левый</t>
  </si>
  <si>
    <t>ПЛ 300/150*50  переходник левый</t>
  </si>
  <si>
    <t>ПЛ 300/200*50  переходник левый</t>
  </si>
  <si>
    <t>ПЛ 400/200*50  переходник левый</t>
  </si>
  <si>
    <t>ПЛ 400/300*50  переходник левый</t>
  </si>
  <si>
    <t>ПЛ 500/200*50  переходник левый</t>
  </si>
  <si>
    <t>ПЛ 500/300*50  переходник левый</t>
  </si>
  <si>
    <t>ПЛ 500/400*50  переходник левый</t>
  </si>
  <si>
    <t>ПЛ 600/400*50  переходник левый</t>
  </si>
  <si>
    <t>ПЛ 600/500*50  переходник левый</t>
  </si>
  <si>
    <t>ПЛ 150/100*80  переходник левый</t>
  </si>
  <si>
    <t>ПЛ 200/100*80  переходник левый</t>
  </si>
  <si>
    <t>ПЛ 200/150*80  переходник левый</t>
  </si>
  <si>
    <t>ПЛ 300/100*80  переходник левый</t>
  </si>
  <si>
    <t>ПЛ 300/150*80  переходник левый</t>
  </si>
  <si>
    <t>ПЛ 300/200*80  переходник левый</t>
  </si>
  <si>
    <t>ПЛ 400/200*80  переходник левый</t>
  </si>
  <si>
    <t>ПЛ 400/300*80  переходник левый</t>
  </si>
  <si>
    <t>ПЛ 500/200*80  переходник левый</t>
  </si>
  <si>
    <t>ПЛ 500/300*80  переходник левый</t>
  </si>
  <si>
    <t>ПЛ 500/400*80  переходник левый</t>
  </si>
  <si>
    <t>ПЛ 600/400*80  переходник левый</t>
  </si>
  <si>
    <t>ПЛ 600/500*80  переходник левый</t>
  </si>
  <si>
    <t>ПЛ 150/100*100  переходник левый</t>
  </si>
  <si>
    <t>ПЛ 200/100*100  переходник левый</t>
  </si>
  <si>
    <t>ПЛ 200/150*100  переходник левый</t>
  </si>
  <si>
    <t>ПЛ 300/100*100  переходник левый</t>
  </si>
  <si>
    <t>ПЛ 300/150*100  переходник левый</t>
  </si>
  <si>
    <t>ПЛ 300/200*100  переходник левый</t>
  </si>
  <si>
    <t>ПЛ 400/200*100  переходник левый</t>
  </si>
  <si>
    <t>ПЛ 400/300*100  переходник левый</t>
  </si>
  <si>
    <t>ПЛ 500/200*100  переходник левый</t>
  </si>
  <si>
    <t>ПЛ 500/300*100  переходник левый</t>
  </si>
  <si>
    <t>ПЛ 500/400*100  переходник левый</t>
  </si>
  <si>
    <t>КПЛ 100/50  крышка переходника левого</t>
  </si>
  <si>
    <t>КПЛ 150/100  крышка переходника левого</t>
  </si>
  <si>
    <t>КПЛ 200/100  крышка переходника левого</t>
  </si>
  <si>
    <t>КПЛ 200/150  крышка переходника левого</t>
  </si>
  <si>
    <t>КПЛ 300/100  крышка переходника левого</t>
  </si>
  <si>
    <t>КПЛ 300/150  крышка переходника левого</t>
  </si>
  <si>
    <t>КПЛ 300/200  крышка переходника левого</t>
  </si>
  <si>
    <t>КПЛ 400/200  крышка переходника левого</t>
  </si>
  <si>
    <t>КПЛ 400/300  крышка переходника левого</t>
  </si>
  <si>
    <t>КПЛ 500/200  крышка переходника левого</t>
  </si>
  <si>
    <t>КПЛ 500/300  крышка переходника левого</t>
  </si>
  <si>
    <t>КПЛ 500/400  крышка переходника левого</t>
  </si>
  <si>
    <t>КПЛ 600/400  крышка переходника левого</t>
  </si>
  <si>
    <t>КПЛ 600/500  крышка переходника левого</t>
  </si>
  <si>
    <t>ПП 100/50*50  переходник правый</t>
  </si>
  <si>
    <t>ПП 150/100*50  переходник правый</t>
  </si>
  <si>
    <t>ПП 200/100*50  переходник правый</t>
  </si>
  <si>
    <t>ПП 200/150*50  переходник правый</t>
  </si>
  <si>
    <t>ПП 300/100*50  переходник правый</t>
  </si>
  <si>
    <t>ПП 300/150*50  переходник правый</t>
  </si>
  <si>
    <t>ПП 300/200*50  переходник правый</t>
  </si>
  <si>
    <t>ПП 400/200*50  переходник правый</t>
  </si>
  <si>
    <t>ПП 400/300*50  переходник правый</t>
  </si>
  <si>
    <t>ПП 500/200*50  переходник правый</t>
  </si>
  <si>
    <t>ПП 500/300*50  переходник правый</t>
  </si>
  <si>
    <t>ПП 500/400*50  переходник правый</t>
  </si>
  <si>
    <t>ПП 600/400*50  переходник правый</t>
  </si>
  <si>
    <t>ПП 600/500*50  переходник правый</t>
  </si>
  <si>
    <t>ПП 150/100*80  переходник правый</t>
  </si>
  <si>
    <t>ПП 200/100*80  переходник правый</t>
  </si>
  <si>
    <t>ПП 200/150*80  переходник правый</t>
  </si>
  <si>
    <t>ПП 300/100*80  переходник правый</t>
  </si>
  <si>
    <t>ПП 300/150*80  переходник правый</t>
  </si>
  <si>
    <t>ПП 300/200*80  переходник правый</t>
  </si>
  <si>
    <t>ПП 400/200*80  переходник правый</t>
  </si>
  <si>
    <t>ПП 400/300*80  переходник правый</t>
  </si>
  <si>
    <t>ПП 500/200*80  переходник правый</t>
  </si>
  <si>
    <t>ПП 500/300*80  переходник правый</t>
  </si>
  <si>
    <t>ПП 500/400*80  переходник правый</t>
  </si>
  <si>
    <t>ПП 600/400*80  переходник правый</t>
  </si>
  <si>
    <t>ПП 600/500*80  переходник правый</t>
  </si>
  <si>
    <t>ПП 150/100*100  переходник правый</t>
  </si>
  <si>
    <t>ПП 200/100*100  переходник правый</t>
  </si>
  <si>
    <t>ПП 200/150*100  переходник правый</t>
  </si>
  <si>
    <t>ПП 300/100*100  переходник правый</t>
  </si>
  <si>
    <t>ПП 300/150*100  переходник правый</t>
  </si>
  <si>
    <t>ПП 300/200*100  переходник правый</t>
  </si>
  <si>
    <t>ПП 400/200*100  переходник правый</t>
  </si>
  <si>
    <t>ПП 400/300*100  переходник правый</t>
  </si>
  <si>
    <t>ПП 500/200*100  переходник правый</t>
  </si>
  <si>
    <t>ПП 500/300*100  переходник правый</t>
  </si>
  <si>
    <t>ПП 500/400*100  переходник правый</t>
  </si>
  <si>
    <t>КПП 100/50  крышка переходника правого</t>
  </si>
  <si>
    <t>КПП 150/100  крышка переходника правого</t>
  </si>
  <si>
    <t>КПП 200/100  крышка переходника правого</t>
  </si>
  <si>
    <t>КПП 200/150  крышка переходника правого</t>
  </si>
  <si>
    <t>КПП 300/100  крышка переходника правого</t>
  </si>
  <si>
    <t>КПП 300/150  крышка переходника правого</t>
  </si>
  <si>
    <t>КПП 300/200  крышка переходника правого</t>
  </si>
  <si>
    <t>КПП 400/200  крышка переходника правого</t>
  </si>
  <si>
    <t>КПП 400/300  крышка переходника правого</t>
  </si>
  <si>
    <t>КПП 500/200  крышка переходника правого</t>
  </si>
  <si>
    <t>КПП 500/300  крышка переходника правого</t>
  </si>
  <si>
    <t>КПП 500/400  крышка переходника правого</t>
  </si>
  <si>
    <t>КПП 600/400  крышка переходника правого</t>
  </si>
  <si>
    <t>КПП 600/500  крышка переходника правого</t>
  </si>
  <si>
    <t>ПС 100/50*50  переходник симметричный</t>
  </si>
  <si>
    <t>ПС 150/100*50  переходник симметричный</t>
  </si>
  <si>
    <t>ПС 200/100*50  переходник симметричный</t>
  </si>
  <si>
    <t>ПС 200/150*50  переходник симметричный</t>
  </si>
  <si>
    <t>ПС 300/100*50  переходник симметричный</t>
  </si>
  <si>
    <t>ПС 300/150*50  переходник симметричный</t>
  </si>
  <si>
    <t>ПС 300/200*50  переходник симметричный</t>
  </si>
  <si>
    <t>ПС 400/200*50  переходник симметричный</t>
  </si>
  <si>
    <t>ПС 400/300*50  переходник симметричный</t>
  </si>
  <si>
    <t>ПС 500/200*50  переходник симметричный</t>
  </si>
  <si>
    <t>ПС 500/300*50  переходник симметричный</t>
  </si>
  <si>
    <t>ПС 500/400*50  переходник симметричный</t>
  </si>
  <si>
    <t>ПС 600/400*50  переходник симметричный</t>
  </si>
  <si>
    <t>ПС 600/500*50  переходник симметричный</t>
  </si>
  <si>
    <t>ПС 150/100*80  переходник симметричный</t>
  </si>
  <si>
    <t>ПС 200/100*80  переходник симметричный</t>
  </si>
  <si>
    <t>ПС 200/150*80  переходник симметричный</t>
  </si>
  <si>
    <t>ПС 300/100*80  переходник симметричный</t>
  </si>
  <si>
    <t>ПС 300/150*80  переходник симметричный</t>
  </si>
  <si>
    <t>ПС 300/200*80  переходник симметричный</t>
  </si>
  <si>
    <t>ПС 400/200*80  переходник симметричный</t>
  </si>
  <si>
    <t>ПС 400/300*80  переходник симметричный</t>
  </si>
  <si>
    <t>ПС 500/200*80  переходник симметричный</t>
  </si>
  <si>
    <t>ПС 500/300*80  переходник симметричный</t>
  </si>
  <si>
    <t>ПС 500/400*80  переходник симметричный</t>
  </si>
  <si>
    <t>ПС 600/400*80  переходник симметричный</t>
  </si>
  <si>
    <t>ПС 600/500*80  переходник симметричный</t>
  </si>
  <si>
    <t>ПС 150/100*100  переходник симметричный</t>
  </si>
  <si>
    <t>ПС 200/100*100  переходник симметричный</t>
  </si>
  <si>
    <t>ПС 200/150*100  переходник симметричный</t>
  </si>
  <si>
    <t>ПС 300/100*100  переходник симметричный</t>
  </si>
  <si>
    <t>ПС 300/150*100  переходник симметричный</t>
  </si>
  <si>
    <t>ПС 300/200*100  переходник симметричный</t>
  </si>
  <si>
    <t>ПС 400/200*100  переходник симметричный</t>
  </si>
  <si>
    <t>ПС 400/300*100  переходник симметричный</t>
  </si>
  <si>
    <t>ПС 500/200*100  переходник симметричный</t>
  </si>
  <si>
    <t>ПС 500/300*100  переходник симметричный</t>
  </si>
  <si>
    <t>ПС 500/400*100  переходник симметричный</t>
  </si>
  <si>
    <t>КПС 100/50  крышка переходника симметричного</t>
  </si>
  <si>
    <t>КПС 150/100  крышка переходника симметричного</t>
  </si>
  <si>
    <t>КПС 200/100  крышка переходника симметричного</t>
  </si>
  <si>
    <t>КПС 200/150  крышка переходника симметричного</t>
  </si>
  <si>
    <t>КПС 300/100  крышка переходника симметричного</t>
  </si>
  <si>
    <t>КПС 300/150  крышка переходника симметричного</t>
  </si>
  <si>
    <t>КПС 300/200  крышка переходника симметричного</t>
  </si>
  <si>
    <t>КПС 400/200  крышка переходника симметричного</t>
  </si>
  <si>
    <t>КПС 400/300  крышка переходника симметричного</t>
  </si>
  <si>
    <t>КПС 500/200  крышка переходника симметричного</t>
  </si>
  <si>
    <t>КПС 500/300  крышка переходника симметричного</t>
  </si>
  <si>
    <t>КПС 500/400  крышка переходника симметричного</t>
  </si>
  <si>
    <t>КПС 600/400  крышка переходника симметричного</t>
  </si>
  <si>
    <t>КПС 600/500  крышка переходника симметричного</t>
  </si>
  <si>
    <t>РЛ 50  разделитель лотка</t>
  </si>
  <si>
    <t>РЛ 80  разделитель лотка</t>
  </si>
  <si>
    <t>РЛ 100  разделитель лотка</t>
  </si>
  <si>
    <t>ЗТ50*50 заглушка торцевая</t>
  </si>
  <si>
    <t>ЗТ100*50 заглушка торцевая</t>
  </si>
  <si>
    <t>ЗТ100*80 заглушка торцевая</t>
  </si>
  <si>
    <t>ЗТ100*100 заглушка торцевая</t>
  </si>
  <si>
    <t>ЗТ150*50 заглушка торцевая</t>
  </si>
  <si>
    <t>ЗТ150*80 заглушка торцевая</t>
  </si>
  <si>
    <t>ЗТ150*100 заглушка торцевая</t>
  </si>
  <si>
    <t>ЗТ150*150 заглушка торцевая</t>
  </si>
  <si>
    <t>ЗТ200*50 заглушка торцевая</t>
  </si>
  <si>
    <t>ЗТ200*80 заглушка торцевая</t>
  </si>
  <si>
    <t>ЗТ200*100 заглушка торцевая</t>
  </si>
  <si>
    <t>ЗТ200*150 заглушка торцевая</t>
  </si>
  <si>
    <t>ЗТ200*200 заглушка торцевая</t>
  </si>
  <si>
    <t>ЗТ250*50 заглушка торцевая</t>
  </si>
  <si>
    <t>ЗТ250*80 заглушка торцевая</t>
  </si>
  <si>
    <t>ЗТ250*100 заглушка торцевая</t>
  </si>
  <si>
    <t>ЗТ250*150 заглушка торцевая</t>
  </si>
  <si>
    <t>ЗТ250*200 заглушка торцевая</t>
  </si>
  <si>
    <t>ЗТ300*50 заглушка торцевая</t>
  </si>
  <si>
    <t>ЗТ300*80 заглушка торцевая</t>
  </si>
  <si>
    <t>ЗТ300*100 заглушка торцевая</t>
  </si>
  <si>
    <t>ЗТ300*150 заглушка торцевая</t>
  </si>
  <si>
    <t>ЗТ300*200 заглушка торцевая</t>
  </si>
  <si>
    <t>ЗТ400*50 заглушка торцевая</t>
  </si>
  <si>
    <t>ЗТ400*80 заглушка торцевая</t>
  </si>
  <si>
    <t>ЗТ400*100 заглушка торцевая</t>
  </si>
  <si>
    <t>ЗТ400*150 заглушка торцевая</t>
  </si>
  <si>
    <t>ЗТ400*200 заглушка торцевая</t>
  </si>
  <si>
    <t>ЗТ500*50 заглушка торцевая</t>
  </si>
  <si>
    <t>ЗТ500*80 заглушка торцевая</t>
  </si>
  <si>
    <t>ЗТ500*100 заглушка торцевая</t>
  </si>
  <si>
    <t>ЗТ500*150 заглушка торцевая</t>
  </si>
  <si>
    <t>ЗТ500*200 заглушка торцевая</t>
  </si>
  <si>
    <t>УП 90°50*60 плоский</t>
  </si>
  <si>
    <t>УП 90°100*60 плоский</t>
  </si>
  <si>
    <t>УП 90°100*65 плоский</t>
  </si>
  <si>
    <t>Крышка угла плоского 90°</t>
  </si>
  <si>
    <t>Угол плоский (горизонтальный) 45°</t>
  </si>
  <si>
    <t>УП 45°50*35 плоский</t>
  </si>
  <si>
    <t>УП 45°50*60 плоский</t>
  </si>
  <si>
    <t>УП 45°60*40 плоский</t>
  </si>
  <si>
    <t>УП 45°100*60 плоский</t>
  </si>
  <si>
    <t>УП 45°100*65 плоский</t>
  </si>
  <si>
    <t>УН 90°50*35 угол вертикальный внешний</t>
  </si>
  <si>
    <t>УН 90°50*60 угол вертикальный внешний</t>
  </si>
  <si>
    <t>УН 90°60*40 угол вертикальный внешний</t>
  </si>
  <si>
    <t>УН 90°100*60 угол вертикальный внешний</t>
  </si>
  <si>
    <t>УН 90°100*65 угол вертикальный внешний</t>
  </si>
  <si>
    <t>УП 90°200*60 плоский</t>
  </si>
  <si>
    <t>УП 90°200*65 плоский</t>
  </si>
  <si>
    <t>УП 90°300*60 плоский</t>
  </si>
  <si>
    <t>УП 90°300*65 плоский</t>
  </si>
  <si>
    <t>УП 90°400*60 плоский</t>
  </si>
  <si>
    <t>УП 90°400*65 плоский</t>
  </si>
  <si>
    <t>УП 90°500*60 плоский</t>
  </si>
  <si>
    <t>УП 90°500*65 плоский</t>
  </si>
  <si>
    <t>УП 45°200*60 плоский</t>
  </si>
  <si>
    <t>УП 45°200*65 плоский</t>
  </si>
  <si>
    <t>УП 45°300*60 плоский</t>
  </si>
  <si>
    <t>УП 45°300*65 плоский</t>
  </si>
  <si>
    <t>УП 45°400*60 плоский</t>
  </si>
  <si>
    <t>УП 45°400*65 плоский</t>
  </si>
  <si>
    <t>УП 45°500*60 плоский</t>
  </si>
  <si>
    <t>УП 45°500*65 плоский</t>
  </si>
  <si>
    <t>УН 90°200*60 угол вертикальный внешний</t>
  </si>
  <si>
    <t>УН 90°200*65 угол вертикальный внешний</t>
  </si>
  <si>
    <t>УН 90°300*60 угол вертикальный внешний</t>
  </si>
  <si>
    <t>УН 90°300*65 угол вертикальный внешний</t>
  </si>
  <si>
    <t>УН 90°400*60 угол вертикальный внешний</t>
  </si>
  <si>
    <t>УН 90°400*65 угол вертикальный внешний</t>
  </si>
  <si>
    <t>УН 90°500*60 угол вертикальный внешний</t>
  </si>
  <si>
    <t>УН 90°500*65 угол вертикальный внешний</t>
  </si>
  <si>
    <t>УН 45°50*35 угол вертикальный внешний</t>
  </si>
  <si>
    <t>УН 45°100*60 угол вертикальный внешний</t>
  </si>
  <si>
    <t>УН 45°100*65 угол вертикальный внешний</t>
  </si>
  <si>
    <t>УН 45°200*60 угол вертикальный внешний</t>
  </si>
  <si>
    <t>УН 45°200*65 угол вертикальный внешний</t>
  </si>
  <si>
    <t>УН 45°300*60 угол вертикальный внешний</t>
  </si>
  <si>
    <t>УН 45°300*65 угол вертикальный внешний</t>
  </si>
  <si>
    <t>УН 45°400*60 угол вертикальный внешний</t>
  </si>
  <si>
    <t>УН 45°400*65 угол вертикальный внешний</t>
  </si>
  <si>
    <t>УН 45°500*60 угол вертикальный внешний</t>
  </si>
  <si>
    <t>УН 45°500*65 угол вертикальный внешний</t>
  </si>
  <si>
    <t>УВ 90°50*35 угол вертикальный внутренний</t>
  </si>
  <si>
    <t>УВ 90°100*60 угол вертикальный внутренний</t>
  </si>
  <si>
    <t>УВ 90°100*65 угол вертикальный внутренний</t>
  </si>
  <si>
    <t>УВ 90°50*60 угол вертикальный внутренний</t>
  </si>
  <si>
    <t>УВ 90°60*40 угол вертикальный внутренний</t>
  </si>
  <si>
    <t>УВ 90°200*60 угол вертикальный внутренний</t>
  </si>
  <si>
    <t>УВ 90°200*65 угол вертикальный внутренний</t>
  </si>
  <si>
    <t>УВ 90°300*60 угол вертикальный внутренний</t>
  </si>
  <si>
    <t>УВ 90°300*65 угол вертикальный внутренний</t>
  </si>
  <si>
    <t>УВ 90°400*60 угол вертикальный внутренний</t>
  </si>
  <si>
    <t>УВ 90°400*65 угол вертикальный внутренний</t>
  </si>
  <si>
    <t>УВ 90°500*60 угол вертикальный внутренний</t>
  </si>
  <si>
    <t>УВ 90°500*65 угол вертикальный внутренний</t>
  </si>
  <si>
    <t>УВ 45°50*35 угол вертикальный внутренний</t>
  </si>
  <si>
    <t>УВ 45°100*60 угол вертикальный внутренний</t>
  </si>
  <si>
    <t>УВ 45°100*65 угол вертикальный внутренний</t>
  </si>
  <si>
    <t>УВ 45°50*60 угол вертикальный внутренний</t>
  </si>
  <si>
    <t>УВ 45°60*40 угол вертикальный внутренний</t>
  </si>
  <si>
    <t>УВ 45°200*60 угол вертикальный внутренний</t>
  </si>
  <si>
    <t>УВ 45°200*65 угол вертикальный внутренний</t>
  </si>
  <si>
    <t>УВ 45°300*60 угол вертикальный внутренний</t>
  </si>
  <si>
    <t>УВ 45°300*65 угол вертикальный внутренний</t>
  </si>
  <si>
    <t>УВ 45°400*60 угол вертикальный внутренний</t>
  </si>
  <si>
    <t>УВ 45°400*65 угол вертикальный внутренний</t>
  </si>
  <si>
    <t>УВ 45°500*60 угол вертикальный внутренний</t>
  </si>
  <si>
    <t>УВ 45°500*65 угол вертикальный внутренний</t>
  </si>
  <si>
    <t>КУВ 45° 60  крышка угла вертикального внутреннего</t>
  </si>
  <si>
    <t>Т 50*35 ответвитель Т-образный</t>
  </si>
  <si>
    <t>Т 50*60 ответвитель Т-образный</t>
  </si>
  <si>
    <t>Т 60*40 ответвитель Т-образный</t>
  </si>
  <si>
    <t>Т 100*60 ответвитель Т-образный</t>
  </si>
  <si>
    <t>Т 100*65 ответвитель Т-образный</t>
  </si>
  <si>
    <t>Т 200*60 ответвитель Т-образный</t>
  </si>
  <si>
    <t>Т 200*65 ответвитель Т-образный</t>
  </si>
  <si>
    <t>Т 300*60 ответвитель Т-образный</t>
  </si>
  <si>
    <t>Т 300*65 ответвитель Т-образный</t>
  </si>
  <si>
    <t>Т 400*60 ответвитель Т-образный</t>
  </si>
  <si>
    <t>Т 400*65 ответвитель Т-образный</t>
  </si>
  <si>
    <t>Т 500*60 ответвитель Т-образный</t>
  </si>
  <si>
    <t>Т 500*65 ответвитель Т-образный</t>
  </si>
  <si>
    <t>КТ 60  крышка Т-образного ответвителя</t>
  </si>
  <si>
    <t>Х 50*35 ответвитель X-образный</t>
  </si>
  <si>
    <t>Х 50*60 ответвитель X-образный</t>
  </si>
  <si>
    <t>Х 60*40 ответвитель X-образный</t>
  </si>
  <si>
    <t>Х 100*60 ответвитель X-образный</t>
  </si>
  <si>
    <t>Х 100*65 ответвитель X-образный</t>
  </si>
  <si>
    <t>Х 200*60 ответвитель X-образный</t>
  </si>
  <si>
    <t>Х 200*65 ответвитель X-образный</t>
  </si>
  <si>
    <t>Х 300*60 ответвитель X-образный</t>
  </si>
  <si>
    <t>Х 300*65 ответвитель X-образный</t>
  </si>
  <si>
    <t>Х 400*60 ответвитель X-образный</t>
  </si>
  <si>
    <t>Х 400*65 ответвитель X-образный</t>
  </si>
  <si>
    <t>Х 500*60 ответвитель X-образный</t>
  </si>
  <si>
    <t>Х 500*65 ответвитель X-образный</t>
  </si>
  <si>
    <t>КХ 60 крышка  Х-образного ответвителя</t>
  </si>
  <si>
    <t xml:space="preserve">Переходник левый  </t>
  </si>
  <si>
    <t xml:space="preserve">Крышка Х-образного ответвителя </t>
  </si>
  <si>
    <t xml:space="preserve">Крышка переходника левого </t>
  </si>
  <si>
    <t xml:space="preserve">Переходник правый  </t>
  </si>
  <si>
    <t xml:space="preserve">Крышка переходника правого  </t>
  </si>
  <si>
    <t xml:space="preserve">Переходник симметричный  </t>
  </si>
  <si>
    <t xml:space="preserve">Крышка переходника симметричного  </t>
  </si>
  <si>
    <t xml:space="preserve">Разделитель лотка  </t>
  </si>
  <si>
    <t>Угол плоский (горизонтальный) 90°</t>
  </si>
  <si>
    <t xml:space="preserve">Крышка угла вертикального внешнего 90° </t>
  </si>
  <si>
    <t xml:space="preserve">Угол вертикальный внешний 45° </t>
  </si>
  <si>
    <t xml:space="preserve">Крышка угла вертикального внешнего 45° </t>
  </si>
  <si>
    <t xml:space="preserve">Угол вертикальный внутренний 90° </t>
  </si>
  <si>
    <t xml:space="preserve">Крышка угла вертикального внутреннего 90° </t>
  </si>
  <si>
    <t xml:space="preserve">Угол вертикальный внутренний 45° </t>
  </si>
  <si>
    <t xml:space="preserve">Крышка угла вертикального внутреннего 45° </t>
  </si>
  <si>
    <t xml:space="preserve">Крышка Т-образного ответвителя </t>
  </si>
  <si>
    <t>РЛ 60  разделитель лотка</t>
  </si>
  <si>
    <t>РЛ 65  разделитель лотка</t>
  </si>
  <si>
    <t>РЛ 150  разделитель лотка</t>
  </si>
  <si>
    <t>РЛ 200  разделитель лотка</t>
  </si>
  <si>
    <t>ЗТ50*35 заглушка торцевая</t>
  </si>
  <si>
    <t>ЗТ100*60 заглушка торцевая</t>
  </si>
  <si>
    <t>ЗТ100*65 заглушка торцевая</t>
  </si>
  <si>
    <t>ЗТ50*60 заглушка торцевая</t>
  </si>
  <si>
    <t>ЗТ60*40 заглушка торцевая</t>
  </si>
  <si>
    <t>ЗТ200*60 заглушка торцевая</t>
  </si>
  <si>
    <t>ЗТ200*65 заглушка торцевая</t>
  </si>
  <si>
    <t>ЗТ300*60 заглушка торцевая</t>
  </si>
  <si>
    <t>ЗТ300*65 заглушка торцевая</t>
  </si>
  <si>
    <t>ЗТ400*60 заглушка торцевая</t>
  </si>
  <si>
    <t>ЗТ400*65 заглушка торцевая</t>
  </si>
  <si>
    <t>ЗТ500*60 заглушка торцевая</t>
  </si>
  <si>
    <t>ЗТ500*65 заглушка торцевая</t>
  </si>
  <si>
    <t>РЛ 35  разделитель лотка</t>
  </si>
  <si>
    <t>КУП 90° 60  крышка угла плоского</t>
  </si>
  <si>
    <t>КУП 45° 60  крышка угла плоского</t>
  </si>
  <si>
    <t>УН 45°50*60 угол вертикальный внешний</t>
  </si>
  <si>
    <t>УН 45°60*40 угол вертикальный внешний</t>
  </si>
  <si>
    <t>КУВ 90° 60  крышка угла вертикального внутреннего</t>
  </si>
  <si>
    <t>Угол вертикальный внешний 90°</t>
  </si>
  <si>
    <t xml:space="preserve">Заглушка торцевая  </t>
  </si>
  <si>
    <t>Шайба М8 с увел. полями</t>
  </si>
  <si>
    <t>Шайба М10 с увел. полями</t>
  </si>
  <si>
    <t>Шайба М6 с увел. полями</t>
  </si>
  <si>
    <t>ЛПРУ 200*60  Лоток проволочный усиленный 400х60х3000</t>
  </si>
  <si>
    <t>ЛПРУ 300*60  Лоток проволочный усиленный 400х60х3000</t>
  </si>
  <si>
    <t>Аксессуары  проволочного лотка</t>
  </si>
  <si>
    <t>Проволочный лоток ЛПР S=4мм</t>
  </si>
  <si>
    <t>Проволочные лотки усиленные ЛПРУ S=6,0мм</t>
  </si>
  <si>
    <t>КУН 45° 50  крышка угла плоского</t>
  </si>
  <si>
    <t>КУН 45° 60  крышка угла плоского</t>
  </si>
  <si>
    <t>КУН 45° 100  крышка угла плоского</t>
  </si>
  <si>
    <t>КУН 45° 150  крышка угла плоского</t>
  </si>
  <si>
    <t>КУН 45° 200  крышка угла плоского</t>
  </si>
  <si>
    <t>КУН 45° 250  крышка угла плоского</t>
  </si>
  <si>
    <t>КУН 45° 300  крышка угла плоского</t>
  </si>
  <si>
    <t>КУН 45° 400  крышка угла плоского</t>
  </si>
  <si>
    <t>КУН 45° 500  крышка угла плоского</t>
  </si>
  <si>
    <t>КУН 90° 50  крышка угла плоского</t>
  </si>
  <si>
    <t>КУН 90° 60  крышка угла плоского</t>
  </si>
  <si>
    <t>КУН 90° 100  крышка угла плоского</t>
  </si>
  <si>
    <t>КУН 90° 150  крышка угла плоского</t>
  </si>
  <si>
    <t>КУН 90° 200  крышка угла плоского</t>
  </si>
  <si>
    <t>КУН 90° 250  крышка угла плоского</t>
  </si>
  <si>
    <t>КУН 90° 300  крышка угла плоского</t>
  </si>
  <si>
    <t>КУН 90° 400  крышка угла плоского</t>
  </si>
  <si>
    <t>КУН 90° 500  крышка угла плоского</t>
  </si>
  <si>
    <t>1. Лоток перфорированный</t>
  </si>
  <si>
    <t>2. Лоток глухой</t>
  </si>
  <si>
    <t>3. Крышка лотка</t>
  </si>
  <si>
    <t>4. Полки, стойки, ГЭМ</t>
  </si>
  <si>
    <t>5. Профиль для монтажа</t>
  </si>
  <si>
    <t>6. Аксессуары</t>
  </si>
  <si>
    <t>7. Проволочный лоток</t>
  </si>
  <si>
    <t>8. Лестничный лоток</t>
  </si>
  <si>
    <t>9. Системы подвеса</t>
  </si>
  <si>
    <t>10. Крепеж</t>
  </si>
  <si>
    <t>оглавление&gt;&gt;</t>
  </si>
  <si>
    <t>Стандартное исполнение продукции из оцинкованной стали по методу Сендзиммра (УТ2,5) от 0,55мм - 2,5мм. Горячий цинк, порошковая окраска и нержавеющая сталь - под заказ!</t>
  </si>
  <si>
    <t xml:space="preserve">                                          </t>
  </si>
  <si>
    <t>Прайс лист от 01.01.2017.</t>
  </si>
  <si>
    <t xml:space="preserve">Крышка угла плоского 45° </t>
  </si>
  <si>
    <t>www.zavodks.ru</t>
  </si>
  <si>
    <t>ООО "Завод Кабеленесущих Систем" предлагает Вам большой выбор кабельных лотков различных типоразмеров по стоимости, установленной заводом-производителем!</t>
  </si>
  <si>
    <t>mail@zavodks.ru</t>
  </si>
  <si>
    <t>Москва, Долгопрудный, Лихачёвский проезд, 17</t>
  </si>
  <si>
    <t>+7 499 403 37 44</t>
  </si>
  <si>
    <t>+7 831 235 09 64</t>
  </si>
  <si>
    <t xml:space="preserve"> Прайс лист от 01.01.2017.</t>
  </si>
  <si>
    <t>Лоток глухой</t>
  </si>
  <si>
    <t>Нижний Новгород, Нижне-Волжская Набережная, 17/2, 3 этаж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</si>
</sst>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22"/>
      <color theme="1"/>
      <name val="Calibri"/>
      <family val="2"/>
      <scheme val="minor"/>
    </font>
    <font>
      <sz val="8"/>
      <name val="Arial"/>
      <family val="2"/>
    </font>
    <font>
      <b/>
      <sz val="10"/>
      <name val="Arial Cyr"/>
      <family val="1"/>
      <charset val="204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3"/>
      <color theme="1" tint="0.249977111117893"/>
      <name val="Times New Roman"/>
      <family val="1"/>
      <charset val="204"/>
    </font>
    <font>
      <sz val="13.5"/>
      <color theme="0" tint="-4.9989318521683403E-2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24"/>
      <color theme="0" tint="-4.9989318521683403E-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theme="1" tint="0.14999847407452621"/>
      <name val="Times New Roman"/>
      <family val="1"/>
      <charset val="204"/>
    </font>
    <font>
      <sz val="11"/>
      <color theme="4"/>
      <name val="Times New Roman"/>
      <family val="1"/>
      <charset val="204"/>
    </font>
    <font>
      <sz val="10"/>
      <color rgb="FF666666"/>
      <name val="Times New Roman"/>
      <family val="1"/>
      <charset val="204"/>
    </font>
    <font>
      <sz val="12"/>
      <color rgb="FF666666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22"/>
      <color theme="0"/>
      <name val="Times New Roman"/>
      <family val="1"/>
      <charset val="204"/>
    </font>
    <font>
      <sz val="11"/>
      <color theme="5"/>
      <name val="Times New Roman"/>
      <family val="1"/>
      <charset val="204"/>
    </font>
    <font>
      <sz val="22"/>
      <color theme="5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0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1"/>
      <charset val="204"/>
    </font>
    <font>
      <sz val="18"/>
      <color theme="0"/>
      <name val="Calibri"/>
      <family val="2"/>
      <scheme val="minor"/>
    </font>
    <font>
      <sz val="16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EDD00"/>
        <bgColor indexed="64"/>
      </patternFill>
    </fill>
  </fills>
  <borders count="19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9" fillId="0" borderId="0" applyNumberFormat="0" applyFill="0" applyBorder="0" applyAlignment="0" applyProtection="0"/>
  </cellStyleXfs>
  <cellXfs count="226">
    <xf numFmtId="0" fontId="0" fillId="0" borderId="0" xfId="0"/>
    <xf numFmtId="0" fontId="0" fillId="0" borderId="1" xfId="0" applyFont="1" applyFill="1" applyBorder="1"/>
    <xf numFmtId="0" fontId="0" fillId="0" borderId="1" xfId="0" applyFont="1" applyBorder="1"/>
    <xf numFmtId="1" fontId="0" fillId="0" borderId="0" xfId="0" applyNumberFormat="1"/>
    <xf numFmtId="0" fontId="2" fillId="2" borderId="1" xfId="0" applyFont="1" applyFill="1" applyBorder="1"/>
    <xf numFmtId="0" fontId="4" fillId="0" borderId="0" xfId="0" applyFont="1" applyAlignment="1">
      <alignment horizontal="center" wrapText="1"/>
    </xf>
    <xf numFmtId="2" fontId="0" fillId="0" borderId="0" xfId="0" applyNumberFormat="1"/>
    <xf numFmtId="1" fontId="0" fillId="0" borderId="0" xfId="0" applyNumberFormat="1" applyAlignment="1">
      <alignment horizontal="center" wrapText="1"/>
    </xf>
    <xf numFmtId="0" fontId="0" fillId="0" borderId="0" xfId="0" applyAlignment="1">
      <alignment horizontal="left"/>
    </xf>
    <xf numFmtId="0" fontId="0" fillId="0" borderId="2" xfId="0" applyFont="1" applyBorder="1"/>
    <xf numFmtId="2" fontId="0" fillId="0" borderId="2" xfId="0" applyNumberFormat="1" applyBorder="1"/>
    <xf numFmtId="0" fontId="0" fillId="0" borderId="2" xfId="0" applyFont="1" applyFill="1" applyBorder="1"/>
    <xf numFmtId="1" fontId="6" fillId="0" borderId="0" xfId="0" applyNumberFormat="1" applyFont="1" applyBorder="1" applyAlignment="1">
      <alignment horizontal="center" wrapText="1"/>
    </xf>
    <xf numFmtId="1" fontId="0" fillId="0" borderId="0" xfId="0" applyNumberFormat="1" applyBorder="1" applyAlignment="1">
      <alignment horizontal="center" wrapText="1"/>
    </xf>
    <xf numFmtId="0" fontId="7" fillId="0" borderId="2" xfId="1" applyNumberFormat="1" applyFont="1" applyBorder="1" applyAlignment="1">
      <alignment horizontal="left" vertical="center"/>
    </xf>
    <xf numFmtId="0" fontId="7" fillId="0" borderId="2" xfId="1" applyNumberFormat="1" applyFont="1" applyFill="1" applyBorder="1" applyAlignment="1">
      <alignment horizontal="left" vertical="center"/>
    </xf>
    <xf numFmtId="164" fontId="0" fillId="0" borderId="0" xfId="0" applyNumberFormat="1"/>
    <xf numFmtId="0" fontId="0" fillId="3" borderId="0" xfId="0" applyFill="1"/>
    <xf numFmtId="0" fontId="0" fillId="0" borderId="2" xfId="0" applyBorder="1" applyAlignment="1">
      <alignment vertical="center"/>
    </xf>
    <xf numFmtId="0" fontId="0" fillId="0" borderId="15" xfId="0" applyBorder="1"/>
    <xf numFmtId="49" fontId="0" fillId="0" borderId="15" xfId="0" applyNumberFormat="1" applyFont="1" applyFill="1" applyBorder="1"/>
    <xf numFmtId="49" fontId="0" fillId="0" borderId="2" xfId="0" applyNumberFormat="1" applyFont="1" applyBorder="1" applyAlignment="1">
      <alignment vertical="center"/>
    </xf>
    <xf numFmtId="49" fontId="0" fillId="0" borderId="2" xfId="0" applyNumberFormat="1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8" fillId="2" borderId="16" xfId="0" applyNumberFormat="1" applyFont="1" applyFill="1" applyBorder="1" applyAlignment="1" applyProtection="1"/>
    <xf numFmtId="0" fontId="0" fillId="0" borderId="1" xfId="0" applyFill="1" applyBorder="1"/>
    <xf numFmtId="0" fontId="1" fillId="0" borderId="2" xfId="0" applyFont="1" applyBorder="1"/>
    <xf numFmtId="2" fontId="1" fillId="0" borderId="2" xfId="0" applyNumberFormat="1" applyFont="1" applyBorder="1"/>
    <xf numFmtId="0" fontId="0" fillId="0" borderId="17" xfId="0" applyFont="1" applyFill="1" applyBorder="1"/>
    <xf numFmtId="0" fontId="9" fillId="0" borderId="0" xfId="2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164" fontId="9" fillId="3" borderId="0" xfId="2" applyNumberFormat="1" applyFill="1"/>
    <xf numFmtId="164" fontId="0" fillId="0" borderId="2" xfId="0" applyNumberFormat="1" applyBorder="1" applyAlignment="1">
      <alignment horizontal="center"/>
    </xf>
    <xf numFmtId="164" fontId="0" fillId="0" borderId="2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wrapText="1"/>
    </xf>
    <xf numFmtId="0" fontId="0" fillId="3" borderId="0" xfId="0" applyFill="1" applyBorder="1"/>
    <xf numFmtId="0" fontId="0" fillId="3" borderId="0" xfId="0" applyFill="1" applyBorder="1" applyAlignment="1">
      <alignment wrapText="1"/>
    </xf>
    <xf numFmtId="0" fontId="9" fillId="3" borderId="0" xfId="2" applyFill="1" applyBorder="1"/>
    <xf numFmtId="0" fontId="0" fillId="3" borderId="0" xfId="0" applyFill="1" applyAlignment="1" applyProtection="1">
      <protection locked="0"/>
    </xf>
    <xf numFmtId="0" fontId="0" fillId="3" borderId="0" xfId="0" applyFill="1" applyBorder="1" applyAlignment="1" applyProtection="1">
      <protection locked="0"/>
    </xf>
    <xf numFmtId="0" fontId="9" fillId="3" borderId="0" xfId="2" applyFill="1" applyAlignment="1" applyProtection="1">
      <protection locked="0"/>
    </xf>
    <xf numFmtId="0" fontId="9" fillId="3" borderId="0" xfId="2" applyFill="1" applyAlignment="1" applyProtection="1">
      <alignment horizontal="center"/>
      <protection locked="0"/>
    </xf>
    <xf numFmtId="0" fontId="9" fillId="3" borderId="0" xfId="2" applyFill="1" applyBorder="1" applyAlignment="1" applyProtection="1">
      <protection locked="0"/>
    </xf>
    <xf numFmtId="0" fontId="0" fillId="3" borderId="0" xfId="0" applyFill="1" applyAlignment="1" applyProtection="1">
      <alignment horizontal="left"/>
      <protection locked="0"/>
    </xf>
    <xf numFmtId="0" fontId="0" fillId="3" borderId="0" xfId="0" applyFill="1" applyBorder="1" applyAlignment="1" applyProtection="1">
      <alignment vertical="center" wrapText="1"/>
      <protection locked="0"/>
    </xf>
    <xf numFmtId="0" fontId="0" fillId="6" borderId="0" xfId="0" applyFont="1" applyFill="1"/>
    <xf numFmtId="0" fontId="0" fillId="3" borderId="0" xfId="0" applyFill="1" applyBorder="1" applyAlignment="1" applyProtection="1">
      <alignment horizontal="center"/>
      <protection locked="0"/>
    </xf>
    <xf numFmtId="0" fontId="0" fillId="0" borderId="0" xfId="0" applyFont="1" applyFill="1"/>
    <xf numFmtId="0" fontId="18" fillId="3" borderId="0" xfId="0" applyFont="1" applyFill="1"/>
    <xf numFmtId="0" fontId="20" fillId="6" borderId="0" xfId="0" applyFont="1" applyFill="1"/>
    <xf numFmtId="0" fontId="22" fillId="6" borderId="0" xfId="0" applyFont="1" applyFill="1" applyAlignment="1">
      <alignment wrapText="1"/>
    </xf>
    <xf numFmtId="0" fontId="23" fillId="6" borderId="0" xfId="0" applyFont="1" applyFill="1" applyAlignment="1">
      <alignment horizontal="left"/>
    </xf>
    <xf numFmtId="0" fontId="23" fillId="6" borderId="0" xfId="0" applyFont="1" applyFill="1"/>
    <xf numFmtId="0" fontId="24" fillId="6" borderId="0" xfId="0" applyFont="1" applyFill="1"/>
    <xf numFmtId="0" fontId="24" fillId="6" borderId="0" xfId="0" applyFont="1" applyFill="1" applyAlignment="1">
      <alignment horizontal="left"/>
    </xf>
    <xf numFmtId="0" fontId="25" fillId="3" borderId="0" xfId="0" applyFont="1" applyFill="1" applyBorder="1" applyAlignment="1" applyProtection="1">
      <alignment horizontal="left"/>
      <protection locked="0"/>
    </xf>
    <xf numFmtId="0" fontId="25" fillId="3" borderId="0" xfId="0" applyFont="1" applyFill="1" applyAlignment="1" applyProtection="1">
      <alignment horizontal="left"/>
      <protection locked="0"/>
    </xf>
    <xf numFmtId="0" fontId="25" fillId="3" borderId="0" xfId="2" applyFont="1" applyFill="1" applyAlignment="1" applyProtection="1">
      <alignment horizontal="left"/>
      <protection locked="0"/>
    </xf>
    <xf numFmtId="0" fontId="23" fillId="0" borderId="0" xfId="0" applyFont="1" applyAlignment="1">
      <alignment vertical="top" wrapText="1"/>
    </xf>
    <xf numFmtId="0" fontId="23" fillId="0" borderId="0" xfId="0" applyFont="1"/>
    <xf numFmtId="0" fontId="23" fillId="0" borderId="0" xfId="0" applyFont="1" applyAlignment="1"/>
    <xf numFmtId="0" fontId="31" fillId="0" borderId="0" xfId="2" applyFont="1"/>
    <xf numFmtId="1" fontId="23" fillId="0" borderId="0" xfId="0" applyNumberFormat="1" applyFont="1"/>
    <xf numFmtId="0" fontId="23" fillId="0" borderId="2" xfId="0" applyFont="1" applyFill="1" applyBorder="1"/>
    <xf numFmtId="0" fontId="23" fillId="0" borderId="2" xfId="0" applyFont="1" applyBorder="1"/>
    <xf numFmtId="0" fontId="23" fillId="0" borderId="0" xfId="0" applyFont="1" applyBorder="1"/>
    <xf numFmtId="0" fontId="29" fillId="0" borderId="0" xfId="0" applyFont="1" applyBorder="1" applyAlignment="1">
      <alignment wrapText="1"/>
    </xf>
    <xf numFmtId="1" fontId="23" fillId="0" borderId="0" xfId="0" applyNumberFormat="1" applyFont="1" applyBorder="1" applyAlignment="1">
      <alignment horizontal="center" wrapText="1"/>
    </xf>
    <xf numFmtId="0" fontId="28" fillId="3" borderId="0" xfId="0" applyFont="1" applyFill="1" applyBorder="1" applyAlignment="1">
      <alignment wrapText="1"/>
    </xf>
    <xf numFmtId="0" fontId="29" fillId="3" borderId="0" xfId="0" applyFont="1" applyFill="1" applyBorder="1" applyAlignment="1">
      <alignment wrapText="1"/>
    </xf>
    <xf numFmtId="1" fontId="33" fillId="3" borderId="0" xfId="0" applyNumberFormat="1" applyFont="1" applyFill="1" applyBorder="1" applyAlignment="1">
      <alignment wrapText="1"/>
    </xf>
    <xf numFmtId="0" fontId="26" fillId="3" borderId="0" xfId="0" applyFont="1" applyFill="1" applyAlignment="1">
      <alignment vertical="top" wrapText="1"/>
    </xf>
    <xf numFmtId="1" fontId="34" fillId="3" borderId="0" xfId="0" applyNumberFormat="1" applyFont="1" applyFill="1" applyBorder="1" applyAlignment="1">
      <alignment wrapText="1"/>
    </xf>
    <xf numFmtId="1" fontId="35" fillId="3" borderId="0" xfId="0" applyNumberFormat="1" applyFont="1" applyFill="1" applyBorder="1" applyAlignment="1">
      <alignment wrapText="1"/>
    </xf>
    <xf numFmtId="1" fontId="36" fillId="3" borderId="0" xfId="0" applyNumberFormat="1" applyFont="1" applyFill="1" applyBorder="1" applyAlignment="1">
      <alignment wrapText="1"/>
    </xf>
    <xf numFmtId="0" fontId="23" fillId="3" borderId="0" xfId="0" applyFont="1" applyFill="1"/>
    <xf numFmtId="0" fontId="37" fillId="7" borderId="0" xfId="0" applyFont="1" applyFill="1" applyBorder="1" applyAlignment="1">
      <alignment vertical="center"/>
    </xf>
    <xf numFmtId="1" fontId="23" fillId="0" borderId="2" xfId="0" applyNumberFormat="1" applyFont="1" applyBorder="1" applyAlignment="1">
      <alignment horizontal="center" vertical="center"/>
    </xf>
    <xf numFmtId="0" fontId="30" fillId="4" borderId="2" xfId="0" applyFont="1" applyFill="1" applyBorder="1"/>
    <xf numFmtId="0" fontId="30" fillId="4" borderId="2" xfId="0" applyFont="1" applyFill="1" applyBorder="1" applyAlignment="1">
      <alignment horizontal="center" vertical="center"/>
    </xf>
    <xf numFmtId="1" fontId="13" fillId="3" borderId="0" xfId="0" applyNumberFormat="1" applyFont="1" applyFill="1" applyBorder="1" applyAlignment="1">
      <alignment wrapText="1"/>
    </xf>
    <xf numFmtId="1" fontId="14" fillId="3" borderId="0" xfId="0" applyNumberFormat="1" applyFont="1" applyFill="1" applyBorder="1" applyAlignment="1">
      <alignment wrapText="1"/>
    </xf>
    <xf numFmtId="0" fontId="30" fillId="4" borderId="2" xfId="0" applyFont="1" applyFill="1" applyBorder="1" applyAlignment="1">
      <alignment horizontal="center"/>
    </xf>
    <xf numFmtId="0" fontId="30" fillId="4" borderId="2" xfId="0" applyFont="1" applyFill="1" applyBorder="1" applyAlignment="1">
      <alignment vertical="center"/>
    </xf>
    <xf numFmtId="1" fontId="39" fillId="3" borderId="0" xfId="0" applyNumberFormat="1" applyFont="1" applyFill="1" applyBorder="1" applyAlignment="1">
      <alignment wrapText="1"/>
    </xf>
    <xf numFmtId="1" fontId="23" fillId="0" borderId="14" xfId="0" applyNumberFormat="1" applyFont="1" applyBorder="1" applyAlignment="1">
      <alignment horizontal="center" vertical="center"/>
    </xf>
    <xf numFmtId="1" fontId="23" fillId="6" borderId="6" xfId="0" applyNumberFormat="1" applyFont="1" applyFill="1" applyBorder="1" applyAlignment="1">
      <alignment horizontal="center" vertical="center"/>
    </xf>
    <xf numFmtId="1" fontId="23" fillId="6" borderId="11" xfId="0" applyNumberFormat="1" applyFont="1" applyFill="1" applyBorder="1" applyAlignment="1">
      <alignment horizontal="center" vertical="center"/>
    </xf>
    <xf numFmtId="1" fontId="23" fillId="6" borderId="0" xfId="0" applyNumberFormat="1" applyFont="1" applyFill="1" applyBorder="1" applyAlignment="1">
      <alignment horizontal="center" vertical="center"/>
    </xf>
    <xf numFmtId="1" fontId="23" fillId="6" borderId="9" xfId="0" applyNumberFormat="1" applyFont="1" applyFill="1" applyBorder="1" applyAlignment="1">
      <alignment horizontal="center" vertical="center"/>
    </xf>
    <xf numFmtId="1" fontId="23" fillId="6" borderId="8" xfId="0" applyNumberFormat="1" applyFont="1" applyFill="1" applyBorder="1" applyAlignment="1">
      <alignment horizontal="center" vertical="center"/>
    </xf>
    <xf numFmtId="1" fontId="23" fillId="0" borderId="2" xfId="0" applyNumberFormat="1" applyFont="1" applyBorder="1" applyAlignment="1">
      <alignment horizontal="center"/>
    </xf>
    <xf numFmtId="0" fontId="10" fillId="3" borderId="0" xfId="0" applyFont="1" applyFill="1" applyBorder="1" applyAlignment="1">
      <alignment vertical="center"/>
    </xf>
    <xf numFmtId="0" fontId="0" fillId="0" borderId="2" xfId="0" applyFont="1" applyBorder="1" applyAlignment="1">
      <alignment vertical="center"/>
    </xf>
    <xf numFmtId="2" fontId="0" fillId="0" borderId="2" xfId="0" applyNumberFormat="1" applyBorder="1" applyAlignment="1">
      <alignment vertical="center"/>
    </xf>
    <xf numFmtId="1" fontId="38" fillId="3" borderId="0" xfId="0" applyNumberFormat="1" applyFont="1" applyFill="1" applyBorder="1" applyAlignment="1">
      <alignment horizontal="center" vertical="center" wrapText="1"/>
    </xf>
    <xf numFmtId="0" fontId="11" fillId="3" borderId="0" xfId="2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1" fontId="38" fillId="3" borderId="0" xfId="0" applyNumberFormat="1" applyFont="1" applyFill="1" applyBorder="1" applyAlignment="1">
      <alignment horizontal="center" wrapText="1"/>
    </xf>
    <xf numFmtId="0" fontId="12" fillId="0" borderId="0" xfId="0" applyFont="1" applyBorder="1" applyAlignment="1">
      <alignment vertical="top" wrapText="1"/>
    </xf>
    <xf numFmtId="164" fontId="5" fillId="3" borderId="0" xfId="0" applyNumberFormat="1" applyFont="1" applyFill="1" applyBorder="1" applyAlignment="1">
      <alignment wrapText="1"/>
    </xf>
    <xf numFmtId="0" fontId="38" fillId="3" borderId="0" xfId="0" applyFont="1" applyFill="1" applyBorder="1" applyAlignment="1"/>
    <xf numFmtId="0" fontId="37" fillId="3" borderId="0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top" wrapText="1"/>
    </xf>
    <xf numFmtId="0" fontId="37" fillId="7" borderId="11" xfId="0" applyFont="1" applyFill="1" applyBorder="1" applyAlignment="1">
      <alignment vertical="center"/>
    </xf>
    <xf numFmtId="1" fontId="23" fillId="6" borderId="10" xfId="0" applyNumberFormat="1" applyFont="1" applyFill="1" applyBorder="1" applyAlignment="1">
      <alignment horizontal="center"/>
    </xf>
    <xf numFmtId="1" fontId="23" fillId="6" borderId="13" xfId="0" applyNumberFormat="1" applyFont="1" applyFill="1" applyBorder="1" applyAlignment="1">
      <alignment horizontal="center"/>
    </xf>
    <xf numFmtId="0" fontId="37" fillId="7" borderId="0" xfId="0" applyFont="1" applyFill="1" applyBorder="1" applyAlignment="1">
      <alignment horizontal="left" vertical="center"/>
    </xf>
    <xf numFmtId="2" fontId="5" fillId="3" borderId="0" xfId="0" applyNumberFormat="1" applyFont="1" applyFill="1" applyBorder="1" applyAlignment="1">
      <alignment wrapText="1"/>
    </xf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 vertical="center"/>
    </xf>
    <xf numFmtId="2" fontId="0" fillId="0" borderId="2" xfId="0" applyNumberForma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41" fillId="3" borderId="0" xfId="0" applyFont="1" applyFill="1" applyBorder="1" applyAlignment="1">
      <alignment vertical="center"/>
    </xf>
    <xf numFmtId="164" fontId="17" fillId="3" borderId="0" xfId="0" applyNumberFormat="1" applyFont="1" applyFill="1" applyBorder="1" applyAlignment="1">
      <alignment wrapText="1"/>
    </xf>
    <xf numFmtId="49" fontId="0" fillId="0" borderId="2" xfId="0" applyNumberFormat="1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1" fontId="15" fillId="3" borderId="0" xfId="0" applyNumberFormat="1" applyFont="1" applyFill="1" applyBorder="1" applyAlignment="1">
      <alignment vertical="top" wrapText="1"/>
    </xf>
    <xf numFmtId="1" fontId="16" fillId="3" borderId="0" xfId="0" applyNumberFormat="1" applyFont="1" applyFill="1" applyBorder="1" applyAlignment="1">
      <alignment vertical="top" wrapText="1"/>
    </xf>
    <xf numFmtId="164" fontId="0" fillId="6" borderId="10" xfId="0" applyNumberFormat="1" applyFill="1" applyBorder="1" applyAlignment="1">
      <alignment horizontal="center" vertical="center"/>
    </xf>
    <xf numFmtId="164" fontId="0" fillId="6" borderId="13" xfId="0" applyNumberFormat="1" applyFill="1" applyBorder="1" applyAlignment="1">
      <alignment horizontal="center" vertical="center"/>
    </xf>
    <xf numFmtId="49" fontId="0" fillId="0" borderId="13" xfId="0" applyNumberFormat="1" applyFont="1" applyBorder="1" applyAlignment="1">
      <alignment vertical="center"/>
    </xf>
    <xf numFmtId="0" fontId="0" fillId="0" borderId="13" xfId="0" applyBorder="1" applyAlignment="1">
      <alignment vertical="center"/>
    </xf>
    <xf numFmtId="1" fontId="0" fillId="6" borderId="2" xfId="0" applyNumberFormat="1" applyFill="1" applyBorder="1"/>
    <xf numFmtId="1" fontId="6" fillId="0" borderId="2" xfId="0" applyNumberFormat="1" applyFont="1" applyBorder="1" applyAlignment="1">
      <alignment wrapText="1"/>
    </xf>
    <xf numFmtId="164" fontId="0" fillId="0" borderId="2" xfId="0" applyNumberFormat="1" applyBorder="1" applyAlignment="1">
      <alignment vertical="center"/>
    </xf>
    <xf numFmtId="0" fontId="43" fillId="3" borderId="0" xfId="2" applyFont="1" applyFill="1" applyBorder="1" applyAlignment="1">
      <alignment vertical="center"/>
    </xf>
    <xf numFmtId="164" fontId="40" fillId="3" borderId="0" xfId="0" applyNumberFormat="1" applyFont="1" applyFill="1" applyBorder="1" applyAlignment="1">
      <alignment wrapText="1"/>
    </xf>
    <xf numFmtId="164" fontId="38" fillId="3" borderId="0" xfId="0" applyNumberFormat="1" applyFont="1" applyFill="1" applyBorder="1"/>
    <xf numFmtId="1" fontId="38" fillId="3" borderId="0" xfId="0" applyNumberFormat="1" applyFont="1" applyFill="1" applyBorder="1" applyAlignment="1">
      <alignment vertical="center" wrapText="1"/>
    </xf>
    <xf numFmtId="164" fontId="0" fillId="0" borderId="0" xfId="0" applyNumberFormat="1" applyAlignment="1">
      <alignment horizontal="center" vertical="center"/>
    </xf>
    <xf numFmtId="0" fontId="27" fillId="3" borderId="0" xfId="0" applyFont="1" applyFill="1"/>
    <xf numFmtId="0" fontId="24" fillId="6" borderId="0" xfId="2" applyFont="1" applyFill="1" applyAlignment="1">
      <alignment horizontal="left"/>
    </xf>
    <xf numFmtId="0" fontId="27" fillId="3" borderId="0" xfId="0" applyFont="1" applyFill="1" applyAlignment="1">
      <alignment horizontal="left" vertical="top" wrapText="1"/>
    </xf>
    <xf numFmtId="0" fontId="19" fillId="6" borderId="0" xfId="0" applyFont="1" applyFill="1" applyAlignment="1">
      <alignment horizontal="center" wrapText="1"/>
    </xf>
    <xf numFmtId="1" fontId="21" fillId="6" borderId="0" xfId="0" applyNumberFormat="1" applyFont="1" applyFill="1" applyAlignment="1">
      <alignment horizontal="center" vertical="center" wrapText="1"/>
    </xf>
    <xf numFmtId="0" fontId="21" fillId="6" borderId="0" xfId="0" applyFont="1" applyFill="1" applyAlignment="1">
      <alignment horizontal="center" vertical="center" wrapText="1"/>
    </xf>
    <xf numFmtId="0" fontId="27" fillId="3" borderId="0" xfId="0" applyFont="1" applyFill="1" applyAlignment="1">
      <alignment horizontal="left" vertical="center"/>
    </xf>
    <xf numFmtId="0" fontId="26" fillId="3" borderId="0" xfId="0" applyFont="1" applyFill="1" applyAlignment="1">
      <alignment horizontal="left" vertical="top" wrapText="1"/>
    </xf>
    <xf numFmtId="0" fontId="37" fillId="7" borderId="0" xfId="0" applyFont="1" applyFill="1" applyBorder="1" applyAlignment="1">
      <alignment horizontal="center" vertical="center" wrapText="1"/>
    </xf>
    <xf numFmtId="1" fontId="32" fillId="0" borderId="0" xfId="0" applyNumberFormat="1" applyFont="1" applyBorder="1" applyAlignment="1">
      <alignment horizontal="center" wrapText="1"/>
    </xf>
    <xf numFmtId="1" fontId="23" fillId="6" borderId="6" xfId="0" applyNumberFormat="1" applyFont="1" applyFill="1" applyBorder="1" applyAlignment="1">
      <alignment horizontal="center" vertical="center"/>
    </xf>
    <xf numFmtId="1" fontId="23" fillId="6" borderId="11" xfId="0" applyNumberFormat="1" applyFont="1" applyFill="1" applyBorder="1" applyAlignment="1">
      <alignment horizontal="center" vertical="center"/>
    </xf>
    <xf numFmtId="1" fontId="23" fillId="6" borderId="8" xfId="0" applyNumberFormat="1" applyFont="1" applyFill="1" applyBorder="1" applyAlignment="1">
      <alignment horizontal="center" vertical="center"/>
    </xf>
    <xf numFmtId="1" fontId="23" fillId="6" borderId="4" xfId="0" applyNumberFormat="1" applyFont="1" applyFill="1" applyBorder="1" applyAlignment="1">
      <alignment horizontal="center" vertical="center"/>
    </xf>
    <xf numFmtId="1" fontId="23" fillId="6" borderId="0" xfId="0" applyNumberFormat="1" applyFont="1" applyFill="1" applyBorder="1" applyAlignment="1">
      <alignment horizontal="center" vertical="center"/>
    </xf>
    <xf numFmtId="1" fontId="23" fillId="6" borderId="7" xfId="0" applyNumberFormat="1" applyFont="1" applyFill="1" applyBorder="1" applyAlignment="1">
      <alignment horizontal="center" vertical="center"/>
    </xf>
    <xf numFmtId="1" fontId="23" fillId="6" borderId="9" xfId="0" applyNumberFormat="1" applyFont="1" applyFill="1" applyBorder="1" applyAlignment="1">
      <alignment horizontal="center" vertical="center"/>
    </xf>
    <xf numFmtId="1" fontId="23" fillId="6" borderId="10" xfId="0" applyNumberFormat="1" applyFont="1" applyFill="1" applyBorder="1" applyAlignment="1">
      <alignment horizontal="center" vertical="center"/>
    </xf>
    <xf numFmtId="1" fontId="23" fillId="6" borderId="12" xfId="0" applyNumberFormat="1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horizontal="center"/>
    </xf>
    <xf numFmtId="0" fontId="30" fillId="4" borderId="5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wrapText="1"/>
    </xf>
    <xf numFmtId="1" fontId="38" fillId="3" borderId="0" xfId="0" applyNumberFormat="1" applyFont="1" applyFill="1" applyBorder="1" applyAlignment="1">
      <alignment horizontal="center" wrapText="1"/>
    </xf>
    <xf numFmtId="0" fontId="37" fillId="7" borderId="0" xfId="0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left" vertical="top" wrapText="1"/>
    </xf>
    <xf numFmtId="0" fontId="37" fillId="7" borderId="9" xfId="0" applyFont="1" applyFill="1" applyBorder="1" applyAlignment="1">
      <alignment horizontal="center" vertical="center"/>
    </xf>
    <xf numFmtId="0" fontId="30" fillId="4" borderId="4" xfId="0" applyFont="1" applyFill="1" applyBorder="1" applyAlignment="1">
      <alignment horizontal="left" vertical="center"/>
    </xf>
    <xf numFmtId="0" fontId="30" fillId="4" borderId="0" xfId="0" applyFont="1" applyFill="1" applyBorder="1" applyAlignment="1">
      <alignment horizontal="left" vertical="center"/>
    </xf>
    <xf numFmtId="0" fontId="37" fillId="7" borderId="0" xfId="0" applyFont="1" applyFill="1" applyBorder="1" applyAlignment="1">
      <alignment horizontal="left" vertical="center"/>
    </xf>
    <xf numFmtId="1" fontId="6" fillId="0" borderId="10" xfId="0" applyNumberFormat="1" applyFont="1" applyBorder="1" applyAlignment="1">
      <alignment horizontal="center" wrapText="1"/>
    </xf>
    <xf numFmtId="1" fontId="6" fillId="0" borderId="12" xfId="0" applyNumberFormat="1" applyFont="1" applyBorder="1" applyAlignment="1">
      <alignment horizontal="center" wrapText="1"/>
    </xf>
    <xf numFmtId="1" fontId="6" fillId="0" borderId="13" xfId="0" applyNumberFormat="1" applyFont="1" applyBorder="1" applyAlignment="1">
      <alignment horizontal="center" wrapText="1"/>
    </xf>
    <xf numFmtId="0" fontId="30" fillId="4" borderId="5" xfId="0" applyFont="1" applyFill="1" applyBorder="1" applyAlignment="1">
      <alignment horizontal="left" vertical="center"/>
    </xf>
    <xf numFmtId="0" fontId="30" fillId="4" borderId="18" xfId="0" applyFont="1" applyFill="1" applyBorder="1" applyAlignment="1">
      <alignment horizontal="left" vertical="center"/>
    </xf>
    <xf numFmtId="0" fontId="30" fillId="4" borderId="14" xfId="0" applyFont="1" applyFill="1" applyBorder="1" applyAlignment="1">
      <alignment horizontal="left" vertic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1" fontId="6" fillId="0" borderId="0" xfId="0" applyNumberFormat="1" applyFont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30" fillId="4" borderId="7" xfId="0" applyFont="1" applyFill="1" applyBorder="1" applyAlignment="1">
      <alignment horizontal="left" vertical="center"/>
    </xf>
    <xf numFmtId="0" fontId="30" fillId="4" borderId="9" xfId="0" applyFont="1" applyFill="1" applyBorder="1" applyAlignment="1">
      <alignment horizontal="left" vertical="center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2" fillId="3" borderId="0" xfId="0" applyFont="1" applyFill="1" applyBorder="1" applyAlignment="1">
      <alignment horizontal="center" wrapText="1"/>
    </xf>
    <xf numFmtId="0" fontId="38" fillId="3" borderId="3" xfId="0" applyFont="1" applyFill="1" applyBorder="1" applyAlignment="1">
      <alignment horizontal="center"/>
    </xf>
    <xf numFmtId="0" fontId="38" fillId="3" borderId="15" xfId="0" applyFont="1" applyFill="1" applyBorder="1" applyAlignment="1">
      <alignment horizontal="center"/>
    </xf>
    <xf numFmtId="0" fontId="38" fillId="3" borderId="6" xfId="0" applyFont="1" applyFill="1" applyBorder="1" applyAlignment="1">
      <alignment horizontal="center"/>
    </xf>
    <xf numFmtId="0" fontId="38" fillId="3" borderId="7" xfId="0" applyFont="1" applyFill="1" applyBorder="1" applyAlignment="1">
      <alignment horizontal="center"/>
    </xf>
    <xf numFmtId="0" fontId="38" fillId="3" borderId="9" xfId="0" applyFont="1" applyFill="1" applyBorder="1" applyAlignment="1">
      <alignment horizontal="center"/>
    </xf>
    <xf numFmtId="0" fontId="38" fillId="3" borderId="8" xfId="0" applyFont="1" applyFill="1" applyBorder="1" applyAlignment="1">
      <alignment horizontal="center"/>
    </xf>
    <xf numFmtId="0" fontId="38" fillId="3" borderId="5" xfId="0" applyFont="1" applyFill="1" applyBorder="1" applyAlignment="1">
      <alignment horizontal="center"/>
    </xf>
    <xf numFmtId="0" fontId="38" fillId="3" borderId="18" xfId="0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40" fillId="3" borderId="5" xfId="0" applyNumberFormat="1" applyFont="1" applyFill="1" applyBorder="1" applyAlignment="1">
      <alignment horizontal="center" wrapText="1"/>
    </xf>
    <xf numFmtId="2" fontId="40" fillId="3" borderId="14" xfId="0" applyNumberFormat="1" applyFont="1" applyFill="1" applyBorder="1" applyAlignment="1">
      <alignment horizontal="center" wrapText="1"/>
    </xf>
    <xf numFmtId="0" fontId="37" fillId="7" borderId="9" xfId="0" applyFont="1" applyFill="1" applyBorder="1" applyAlignment="1">
      <alignment horizontal="left" vertical="center"/>
    </xf>
    <xf numFmtId="0" fontId="37" fillId="7" borderId="8" xfId="0" applyFont="1" applyFill="1" applyBorder="1" applyAlignment="1">
      <alignment horizontal="left" vertical="center"/>
    </xf>
    <xf numFmtId="2" fontId="40" fillId="3" borderId="3" xfId="0" applyNumberFormat="1" applyFont="1" applyFill="1" applyBorder="1" applyAlignment="1">
      <alignment horizontal="center" wrapText="1"/>
    </xf>
    <xf numFmtId="2" fontId="40" fillId="3" borderId="15" xfId="0" applyNumberFormat="1" applyFont="1" applyFill="1" applyBorder="1" applyAlignment="1">
      <alignment horizontal="center" wrapText="1"/>
    </xf>
    <xf numFmtId="2" fontId="40" fillId="3" borderId="6" xfId="0" applyNumberFormat="1" applyFont="1" applyFill="1" applyBorder="1" applyAlignment="1">
      <alignment horizontal="center" wrapText="1"/>
    </xf>
    <xf numFmtId="2" fontId="40" fillId="3" borderId="4" xfId="0" applyNumberFormat="1" applyFont="1" applyFill="1" applyBorder="1" applyAlignment="1">
      <alignment horizontal="center" wrapText="1"/>
    </xf>
    <xf numFmtId="2" fontId="40" fillId="3" borderId="0" xfId="0" applyNumberFormat="1" applyFont="1" applyFill="1" applyBorder="1" applyAlignment="1">
      <alignment horizontal="center" wrapText="1"/>
    </xf>
    <xf numFmtId="2" fontId="40" fillId="3" borderId="11" xfId="0" applyNumberFormat="1" applyFont="1" applyFill="1" applyBorder="1" applyAlignment="1">
      <alignment horizontal="center" wrapText="1"/>
    </xf>
    <xf numFmtId="2" fontId="40" fillId="3" borderId="7" xfId="0" applyNumberFormat="1" applyFont="1" applyFill="1" applyBorder="1" applyAlignment="1">
      <alignment horizontal="center" wrapText="1"/>
    </xf>
    <xf numFmtId="2" fontId="40" fillId="3" borderId="9" xfId="0" applyNumberFormat="1" applyFont="1" applyFill="1" applyBorder="1" applyAlignment="1">
      <alignment horizontal="center" wrapText="1"/>
    </xf>
    <xf numFmtId="2" fontId="40" fillId="3" borderId="8" xfId="0" applyNumberFormat="1" applyFont="1" applyFill="1" applyBorder="1" applyAlignment="1">
      <alignment horizontal="center" wrapText="1"/>
    </xf>
    <xf numFmtId="1" fontId="9" fillId="0" borderId="0" xfId="2" applyNumberFormat="1" applyBorder="1" applyAlignment="1">
      <alignment horizontal="center" wrapText="1"/>
    </xf>
    <xf numFmtId="0" fontId="30" fillId="4" borderId="5" xfId="0" applyFont="1" applyFill="1" applyBorder="1" applyAlignment="1">
      <alignment horizontal="center"/>
    </xf>
    <xf numFmtId="0" fontId="30" fillId="4" borderId="14" xfId="0" applyFont="1" applyFill="1" applyBorder="1" applyAlignment="1">
      <alignment horizontal="center"/>
    </xf>
    <xf numFmtId="0" fontId="4" fillId="0" borderId="10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30" fillId="4" borderId="2" xfId="0" applyFont="1" applyFill="1" applyBorder="1" applyAlignment="1">
      <alignment horizontal="left" vertical="center"/>
    </xf>
    <xf numFmtId="0" fontId="0" fillId="3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30" fillId="5" borderId="5" xfId="0" applyFont="1" applyFill="1" applyBorder="1" applyAlignment="1">
      <alignment horizontal="left" vertical="center"/>
    </xf>
    <xf numFmtId="0" fontId="30" fillId="5" borderId="18" xfId="0" applyFont="1" applyFill="1" applyBorder="1" applyAlignment="1">
      <alignment horizontal="left" vertical="center"/>
    </xf>
    <xf numFmtId="0" fontId="30" fillId="5" borderId="14" xfId="0" applyFont="1" applyFill="1" applyBorder="1" applyAlignment="1">
      <alignment horizontal="left" vertical="center"/>
    </xf>
    <xf numFmtId="0" fontId="0" fillId="3" borderId="5" xfId="0" applyFill="1" applyBorder="1" applyAlignment="1">
      <alignment horizontal="center"/>
    </xf>
    <xf numFmtId="0" fontId="0" fillId="3" borderId="14" xfId="0" applyFill="1" applyBorder="1" applyAlignment="1">
      <alignment horizont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FEDD00"/>
      <color rgb="FF9D9D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3" Type="http://schemas.openxmlformats.org/officeDocument/2006/relationships/image" Target="../media/image52.jpeg"/><Relationship Id="rId7" Type="http://schemas.openxmlformats.org/officeDocument/2006/relationships/image" Target="../media/image56.jpeg"/><Relationship Id="rId2" Type="http://schemas.openxmlformats.org/officeDocument/2006/relationships/image" Target="../media/image51.jpeg"/><Relationship Id="rId1" Type="http://schemas.openxmlformats.org/officeDocument/2006/relationships/image" Target="../media/image50.jpg"/><Relationship Id="rId6" Type="http://schemas.openxmlformats.org/officeDocument/2006/relationships/image" Target="../media/image55.jpeg"/><Relationship Id="rId5" Type="http://schemas.openxmlformats.org/officeDocument/2006/relationships/image" Target="../media/image54.jpeg"/><Relationship Id="rId10" Type="http://schemas.openxmlformats.org/officeDocument/2006/relationships/image" Target="../media/image2.jpeg"/><Relationship Id="rId4" Type="http://schemas.openxmlformats.org/officeDocument/2006/relationships/image" Target="../media/image53.jpeg"/><Relationship Id="rId9" Type="http://schemas.openxmlformats.org/officeDocument/2006/relationships/image" Target="../media/image58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g"/><Relationship Id="rId3" Type="http://schemas.openxmlformats.org/officeDocument/2006/relationships/image" Target="../media/image61.jpg"/><Relationship Id="rId7" Type="http://schemas.openxmlformats.org/officeDocument/2006/relationships/image" Target="../media/image65.jpg"/><Relationship Id="rId2" Type="http://schemas.openxmlformats.org/officeDocument/2006/relationships/image" Target="../media/image60.jpg"/><Relationship Id="rId1" Type="http://schemas.openxmlformats.org/officeDocument/2006/relationships/image" Target="../media/image59.jpg"/><Relationship Id="rId6" Type="http://schemas.openxmlformats.org/officeDocument/2006/relationships/image" Target="../media/image64.jpg"/><Relationship Id="rId5" Type="http://schemas.openxmlformats.org/officeDocument/2006/relationships/image" Target="../media/image63.jpg"/><Relationship Id="rId4" Type="http://schemas.openxmlformats.org/officeDocument/2006/relationships/image" Target="../media/image62.jpg"/><Relationship Id="rId9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2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18" Type="http://schemas.openxmlformats.org/officeDocument/2006/relationships/image" Target="../media/image31.jpeg"/><Relationship Id="rId3" Type="http://schemas.openxmlformats.org/officeDocument/2006/relationships/image" Target="../media/image16.jpeg"/><Relationship Id="rId21" Type="http://schemas.openxmlformats.org/officeDocument/2006/relationships/image" Target="../media/image34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17" Type="http://schemas.openxmlformats.org/officeDocument/2006/relationships/image" Target="../media/image30.jpeg"/><Relationship Id="rId25" Type="http://schemas.openxmlformats.org/officeDocument/2006/relationships/image" Target="../media/image2.jpeg"/><Relationship Id="rId2" Type="http://schemas.openxmlformats.org/officeDocument/2006/relationships/image" Target="../media/image15.jpeg"/><Relationship Id="rId16" Type="http://schemas.openxmlformats.org/officeDocument/2006/relationships/image" Target="../media/image29.jpeg"/><Relationship Id="rId20" Type="http://schemas.openxmlformats.org/officeDocument/2006/relationships/image" Target="../media/image33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24" Type="http://schemas.openxmlformats.org/officeDocument/2006/relationships/image" Target="../media/image37.jpeg"/><Relationship Id="rId5" Type="http://schemas.openxmlformats.org/officeDocument/2006/relationships/image" Target="../media/image18.jpeg"/><Relationship Id="rId15" Type="http://schemas.openxmlformats.org/officeDocument/2006/relationships/image" Target="../media/image28.jpeg"/><Relationship Id="rId23" Type="http://schemas.openxmlformats.org/officeDocument/2006/relationships/image" Target="../media/image36.jpeg"/><Relationship Id="rId10" Type="http://schemas.openxmlformats.org/officeDocument/2006/relationships/image" Target="../media/image23.jpeg"/><Relationship Id="rId19" Type="http://schemas.openxmlformats.org/officeDocument/2006/relationships/image" Target="../media/image32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Relationship Id="rId22" Type="http://schemas.openxmlformats.org/officeDocument/2006/relationships/image" Target="../media/image3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g"/><Relationship Id="rId3" Type="http://schemas.openxmlformats.org/officeDocument/2006/relationships/image" Target="../media/image40.jpg"/><Relationship Id="rId7" Type="http://schemas.openxmlformats.org/officeDocument/2006/relationships/image" Target="../media/image44.jpg"/><Relationship Id="rId12" Type="http://schemas.openxmlformats.org/officeDocument/2006/relationships/image" Target="../media/image48.jpeg"/><Relationship Id="rId2" Type="http://schemas.openxmlformats.org/officeDocument/2006/relationships/image" Target="../media/image39.jpg"/><Relationship Id="rId1" Type="http://schemas.openxmlformats.org/officeDocument/2006/relationships/image" Target="../media/image38.jpeg"/><Relationship Id="rId6" Type="http://schemas.openxmlformats.org/officeDocument/2006/relationships/image" Target="../media/image43.jpg"/><Relationship Id="rId11" Type="http://schemas.openxmlformats.org/officeDocument/2006/relationships/image" Target="../media/image2.jpeg"/><Relationship Id="rId5" Type="http://schemas.openxmlformats.org/officeDocument/2006/relationships/image" Target="../media/image42.jpg"/><Relationship Id="rId10" Type="http://schemas.openxmlformats.org/officeDocument/2006/relationships/image" Target="../media/image47.jpg"/><Relationship Id="rId4" Type="http://schemas.openxmlformats.org/officeDocument/2006/relationships/image" Target="../media/image41.jpg"/><Relationship Id="rId9" Type="http://schemas.openxmlformats.org/officeDocument/2006/relationships/image" Target="../media/image46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</xdr:row>
      <xdr:rowOff>114299</xdr:rowOff>
    </xdr:from>
    <xdr:to>
      <xdr:col>3</xdr:col>
      <xdr:colOff>665714</xdr:colOff>
      <xdr:row>7</xdr:row>
      <xdr:rowOff>93376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1BD99B4-87D9-44E3-9B28-95DA1FEEA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495299"/>
          <a:ext cx="3218414" cy="7029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538371</xdr:colOff>
      <xdr:row>33</xdr:row>
      <xdr:rowOff>140804</xdr:rowOff>
    </xdr:from>
    <xdr:to>
      <xdr:col>3</xdr:col>
      <xdr:colOff>579784</xdr:colOff>
      <xdr:row>33</xdr:row>
      <xdr:rowOff>917552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3523" y="8058978"/>
          <a:ext cx="654326" cy="776748"/>
        </a:xfrm>
        <a:prstGeom prst="rect">
          <a:avLst/>
        </a:prstGeom>
      </xdr:spPr>
    </xdr:pic>
    <xdr:clientData/>
  </xdr:twoCellAnchor>
  <xdr:twoCellAnchor editAs="oneCell">
    <xdr:from>
      <xdr:col>2</xdr:col>
      <xdr:colOff>405847</xdr:colOff>
      <xdr:row>36</xdr:row>
      <xdr:rowOff>132521</xdr:rowOff>
    </xdr:from>
    <xdr:to>
      <xdr:col>3</xdr:col>
      <xdr:colOff>728572</xdr:colOff>
      <xdr:row>40</xdr:row>
      <xdr:rowOff>69131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99" y="10783956"/>
          <a:ext cx="935638" cy="698610"/>
        </a:xfrm>
        <a:prstGeom prst="rect">
          <a:avLst/>
        </a:prstGeom>
      </xdr:spPr>
    </xdr:pic>
    <xdr:clientData/>
  </xdr:twoCellAnchor>
  <xdr:twoCellAnchor editAs="oneCell">
    <xdr:from>
      <xdr:col>2</xdr:col>
      <xdr:colOff>455545</xdr:colOff>
      <xdr:row>35</xdr:row>
      <xdr:rowOff>74545</xdr:rowOff>
    </xdr:from>
    <xdr:to>
      <xdr:col>3</xdr:col>
      <xdr:colOff>505240</xdr:colOff>
      <xdr:row>35</xdr:row>
      <xdr:rowOff>767272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0697" y="9839741"/>
          <a:ext cx="662608" cy="692727"/>
        </a:xfrm>
        <a:prstGeom prst="rect">
          <a:avLst/>
        </a:prstGeom>
      </xdr:spPr>
    </xdr:pic>
    <xdr:clientData/>
  </xdr:twoCellAnchor>
  <xdr:twoCellAnchor editAs="oneCell">
    <xdr:from>
      <xdr:col>2</xdr:col>
      <xdr:colOff>438978</xdr:colOff>
      <xdr:row>34</xdr:row>
      <xdr:rowOff>66262</xdr:rowOff>
    </xdr:from>
    <xdr:to>
      <xdr:col>3</xdr:col>
      <xdr:colOff>654326</xdr:colOff>
      <xdr:row>34</xdr:row>
      <xdr:rowOff>786850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4130" y="9003197"/>
          <a:ext cx="828261" cy="720588"/>
        </a:xfrm>
        <a:prstGeom prst="rect">
          <a:avLst/>
        </a:prstGeom>
      </xdr:spPr>
    </xdr:pic>
    <xdr:clientData/>
  </xdr:twoCellAnchor>
  <xdr:twoCellAnchor editAs="oneCell">
    <xdr:from>
      <xdr:col>2</xdr:col>
      <xdr:colOff>6627</xdr:colOff>
      <xdr:row>31</xdr:row>
      <xdr:rowOff>182466</xdr:rowOff>
    </xdr:from>
    <xdr:to>
      <xdr:col>4</xdr:col>
      <xdr:colOff>8282</xdr:colOff>
      <xdr:row>33</xdr:row>
      <xdr:rowOff>8284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1779" y="6825118"/>
          <a:ext cx="1774133" cy="1101340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2</xdr:col>
      <xdr:colOff>12385</xdr:colOff>
      <xdr:row>10</xdr:row>
      <xdr:rowOff>188706</xdr:rowOff>
    </xdr:from>
    <xdr:to>
      <xdr:col>4</xdr:col>
      <xdr:colOff>4033</xdr:colOff>
      <xdr:row>18</xdr:row>
      <xdr:rowOff>8284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537" y="2830858"/>
          <a:ext cx="1764126" cy="1343578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2</xdr:col>
      <xdr:colOff>11599</xdr:colOff>
      <xdr:row>4</xdr:row>
      <xdr:rowOff>4968</xdr:rowOff>
    </xdr:from>
    <xdr:to>
      <xdr:col>4</xdr:col>
      <xdr:colOff>0</xdr:colOff>
      <xdr:row>11</xdr:row>
      <xdr:rowOff>8283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6751" y="1504120"/>
          <a:ext cx="1760879" cy="1336815"/>
        </a:xfrm>
        <a:prstGeom prst="rect">
          <a:avLst/>
        </a:prstGeom>
      </xdr:spPr>
    </xdr:pic>
    <xdr:clientData/>
  </xdr:twoCellAnchor>
  <xdr:twoCellAnchor editAs="oneCell">
    <xdr:from>
      <xdr:col>2</xdr:col>
      <xdr:colOff>6625</xdr:colOff>
      <xdr:row>18</xdr:row>
      <xdr:rowOff>1589</xdr:rowOff>
    </xdr:from>
    <xdr:to>
      <xdr:col>4</xdr:col>
      <xdr:colOff>0</xdr:colOff>
      <xdr:row>24</xdr:row>
      <xdr:rowOff>8283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1777" y="4167741"/>
          <a:ext cx="1765853" cy="1149694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2</xdr:col>
      <xdr:colOff>8282</xdr:colOff>
      <xdr:row>24</xdr:row>
      <xdr:rowOff>4970</xdr:rowOff>
    </xdr:from>
    <xdr:to>
      <xdr:col>4</xdr:col>
      <xdr:colOff>1127</xdr:colOff>
      <xdr:row>32</xdr:row>
      <xdr:rowOff>8283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3434" y="5314122"/>
          <a:ext cx="1765323" cy="1527313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0</xdr:col>
      <xdr:colOff>99391</xdr:colOff>
      <xdr:row>0</xdr:row>
      <xdr:rowOff>167125</xdr:rowOff>
    </xdr:from>
    <xdr:to>
      <xdr:col>0</xdr:col>
      <xdr:colOff>1950729</xdr:colOff>
      <xdr:row>0</xdr:row>
      <xdr:rowOff>571500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A82EBB11-F4C4-407E-A4E4-1684061B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1" y="167125"/>
          <a:ext cx="1851338" cy="404375"/>
        </a:xfrm>
        <a:prstGeom prst="rect">
          <a:avLst/>
        </a:prstGeom>
      </xdr:spPr>
    </xdr:pic>
    <xdr:clientData/>
  </xdr:twoCellAnchor>
  <xdr:oneCellAnchor>
    <xdr:from>
      <xdr:col>0</xdr:col>
      <xdr:colOff>2302566</xdr:colOff>
      <xdr:row>0</xdr:row>
      <xdr:rowOff>57978</xdr:rowOff>
    </xdr:from>
    <xdr:ext cx="2915478" cy="737146"/>
    <xdr:sp macro="" textlink="">
      <xdr:nvSpPr>
        <xdr:cNvPr id="13" name="TextBox 12"/>
        <xdr:cNvSpPr txBox="1"/>
      </xdr:nvSpPr>
      <xdr:spPr>
        <a:xfrm>
          <a:off x="2302566" y="57978"/>
          <a:ext cx="2915478" cy="737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Нижний Новгород, </a:t>
          </a:r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Нижне-Волжская Набережная, 17/2, 3 этаж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9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+7 831 235 09 64</a:t>
          </a:r>
        </a:p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Москва, Долгопрудный, Лихачёвский проезд, 17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900" b="1" i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+7 499 403 37 44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264087</xdr:colOff>
      <xdr:row>31</xdr:row>
      <xdr:rowOff>157709</xdr:rowOff>
    </xdr:from>
    <xdr:to>
      <xdr:col>3</xdr:col>
      <xdr:colOff>530090</xdr:colOff>
      <xdr:row>38</xdr:row>
      <xdr:rowOff>57018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88857" y="7325178"/>
          <a:ext cx="1232809" cy="878916"/>
        </a:xfrm>
        <a:prstGeom prst="rect">
          <a:avLst/>
        </a:prstGeom>
      </xdr:spPr>
    </xdr:pic>
    <xdr:clientData/>
  </xdr:twoCellAnchor>
  <xdr:twoCellAnchor editAs="oneCell">
    <xdr:from>
      <xdr:col>2</xdr:col>
      <xdr:colOff>285266</xdr:colOff>
      <xdr:row>24</xdr:row>
      <xdr:rowOff>33136</xdr:rowOff>
    </xdr:from>
    <xdr:to>
      <xdr:col>3</xdr:col>
      <xdr:colOff>447261</xdr:colOff>
      <xdr:row>29</xdr:row>
      <xdr:rowOff>167872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930819" y="5788343"/>
          <a:ext cx="1087236" cy="774908"/>
        </a:xfrm>
        <a:prstGeom prst="rect">
          <a:avLst/>
        </a:prstGeom>
      </xdr:spPr>
    </xdr:pic>
    <xdr:clientData/>
  </xdr:twoCellAnchor>
  <xdr:twoCellAnchor editAs="oneCell">
    <xdr:from>
      <xdr:col>2</xdr:col>
      <xdr:colOff>201769</xdr:colOff>
      <xdr:row>7</xdr:row>
      <xdr:rowOff>38186</xdr:rowOff>
    </xdr:from>
    <xdr:to>
      <xdr:col>3</xdr:col>
      <xdr:colOff>522044</xdr:colOff>
      <xdr:row>10</xdr:row>
      <xdr:rowOff>140805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3486" y="2224795"/>
          <a:ext cx="933188" cy="674119"/>
        </a:xfrm>
        <a:prstGeom prst="rect">
          <a:avLst/>
        </a:prstGeom>
      </xdr:spPr>
    </xdr:pic>
    <xdr:clientData/>
  </xdr:twoCellAnchor>
  <xdr:twoCellAnchor editAs="oneCell">
    <xdr:from>
      <xdr:col>2</xdr:col>
      <xdr:colOff>192739</xdr:colOff>
      <xdr:row>12</xdr:row>
      <xdr:rowOff>19634</xdr:rowOff>
    </xdr:from>
    <xdr:to>
      <xdr:col>3</xdr:col>
      <xdr:colOff>566360</xdr:colOff>
      <xdr:row>15</xdr:row>
      <xdr:rowOff>173936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456" y="3216721"/>
          <a:ext cx="986534" cy="725802"/>
        </a:xfrm>
        <a:prstGeom prst="rect">
          <a:avLst/>
        </a:prstGeom>
      </xdr:spPr>
    </xdr:pic>
    <xdr:clientData/>
  </xdr:twoCellAnchor>
  <xdr:twoCellAnchor editAs="oneCell">
    <xdr:from>
      <xdr:col>2</xdr:col>
      <xdr:colOff>208816</xdr:colOff>
      <xdr:row>40</xdr:row>
      <xdr:rowOff>5942</xdr:rowOff>
    </xdr:from>
    <xdr:to>
      <xdr:col>3</xdr:col>
      <xdr:colOff>496956</xdr:colOff>
      <xdr:row>44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33" y="8768942"/>
          <a:ext cx="901053" cy="756058"/>
        </a:xfrm>
        <a:prstGeom prst="rect">
          <a:avLst/>
        </a:prstGeom>
      </xdr:spPr>
    </xdr:pic>
    <xdr:clientData/>
  </xdr:twoCellAnchor>
  <xdr:twoCellAnchor editAs="oneCell">
    <xdr:from>
      <xdr:col>2</xdr:col>
      <xdr:colOff>300584</xdr:colOff>
      <xdr:row>45</xdr:row>
      <xdr:rowOff>41413</xdr:rowOff>
    </xdr:from>
    <xdr:to>
      <xdr:col>3</xdr:col>
      <xdr:colOff>434410</xdr:colOff>
      <xdr:row>46</xdr:row>
      <xdr:rowOff>240195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2301" y="9814891"/>
          <a:ext cx="746739" cy="447261"/>
        </a:xfrm>
        <a:prstGeom prst="rect">
          <a:avLst/>
        </a:prstGeom>
      </xdr:spPr>
    </xdr:pic>
    <xdr:clientData/>
  </xdr:twoCellAnchor>
  <xdr:twoCellAnchor editAs="oneCell">
    <xdr:from>
      <xdr:col>2</xdr:col>
      <xdr:colOff>115958</xdr:colOff>
      <xdr:row>17</xdr:row>
      <xdr:rowOff>158960</xdr:rowOff>
    </xdr:from>
    <xdr:to>
      <xdr:col>3</xdr:col>
      <xdr:colOff>640039</xdr:colOff>
      <xdr:row>22</xdr:row>
      <xdr:rowOff>24886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7675" y="4366525"/>
          <a:ext cx="1136994" cy="81842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48</xdr:row>
      <xdr:rowOff>49696</xdr:rowOff>
    </xdr:from>
    <xdr:to>
      <xdr:col>3</xdr:col>
      <xdr:colOff>281610</xdr:colOff>
      <xdr:row>49</xdr:row>
      <xdr:rowOff>291605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2718" y="10585174"/>
          <a:ext cx="513522" cy="540083"/>
        </a:xfrm>
        <a:prstGeom prst="rect">
          <a:avLst/>
        </a:prstGeom>
      </xdr:spPr>
    </xdr:pic>
    <xdr:clientData/>
  </xdr:twoCellAnchor>
  <xdr:twoCellAnchor editAs="oneCell">
    <xdr:from>
      <xdr:col>0</xdr:col>
      <xdr:colOff>99392</xdr:colOff>
      <xdr:row>0</xdr:row>
      <xdr:rowOff>109144</xdr:rowOff>
    </xdr:from>
    <xdr:to>
      <xdr:col>0</xdr:col>
      <xdr:colOff>1950730</xdr:colOff>
      <xdr:row>0</xdr:row>
      <xdr:rowOff>513519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A82EBB11-F4C4-407E-A4E4-1684061B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2" y="109144"/>
          <a:ext cx="1851338" cy="404375"/>
        </a:xfrm>
        <a:prstGeom prst="rect">
          <a:avLst/>
        </a:prstGeom>
      </xdr:spPr>
    </xdr:pic>
    <xdr:clientData/>
  </xdr:twoCellAnchor>
  <xdr:oneCellAnchor>
    <xdr:from>
      <xdr:col>0</xdr:col>
      <xdr:colOff>2136913</xdr:colOff>
      <xdr:row>0</xdr:row>
      <xdr:rowOff>57978</xdr:rowOff>
    </xdr:from>
    <xdr:ext cx="2915478" cy="737146"/>
    <xdr:sp macro="" textlink="">
      <xdr:nvSpPr>
        <xdr:cNvPr id="13" name="TextBox 12"/>
        <xdr:cNvSpPr txBox="1"/>
      </xdr:nvSpPr>
      <xdr:spPr>
        <a:xfrm>
          <a:off x="2136913" y="57978"/>
          <a:ext cx="2915478" cy="737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Нижний Новгород, </a:t>
          </a:r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Нижне-Волжская Набережная, 17/2, 3 этаж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9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+7 831 235 09 64</a:t>
          </a:r>
        </a:p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Москва, Долгопрудный, Лихачёвский проезд, 17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900" b="1" i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+7 499 403 37 44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115957</xdr:colOff>
      <xdr:row>0</xdr:row>
      <xdr:rowOff>175410</xdr:rowOff>
    </xdr:from>
    <xdr:to>
      <xdr:col>0</xdr:col>
      <xdr:colOff>1967295</xdr:colOff>
      <xdr:row>0</xdr:row>
      <xdr:rowOff>579785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A82EBB11-F4C4-407E-A4E4-1684061B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7" y="175410"/>
          <a:ext cx="1851338" cy="404375"/>
        </a:xfrm>
        <a:prstGeom prst="rect">
          <a:avLst/>
        </a:prstGeom>
      </xdr:spPr>
    </xdr:pic>
    <xdr:clientData/>
  </xdr:twoCellAnchor>
  <xdr:twoCellAnchor editAs="oneCell">
    <xdr:from>
      <xdr:col>8</xdr:col>
      <xdr:colOff>8283</xdr:colOff>
      <xdr:row>0</xdr:row>
      <xdr:rowOff>0</xdr:rowOff>
    </xdr:from>
    <xdr:to>
      <xdr:col>12</xdr:col>
      <xdr:colOff>1</xdr:colOff>
      <xdr:row>4</xdr:row>
      <xdr:rowOff>8282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348" y="0"/>
          <a:ext cx="2153478" cy="1507434"/>
        </a:xfrm>
        <a:prstGeom prst="rect">
          <a:avLst/>
        </a:prstGeom>
        <a:ln>
          <a:noFill/>
        </a:ln>
        <a:effectLst>
          <a:softEdge rad="0"/>
        </a:effectLst>
      </xdr:spPr>
    </xdr:pic>
    <xdr:clientData/>
  </xdr:twoCellAnchor>
  <xdr:oneCellAnchor>
    <xdr:from>
      <xdr:col>1</xdr:col>
      <xdr:colOff>1</xdr:colOff>
      <xdr:row>0</xdr:row>
      <xdr:rowOff>82832</xdr:rowOff>
    </xdr:from>
    <xdr:ext cx="3064564" cy="737146"/>
    <xdr:sp macro="" textlink="">
      <xdr:nvSpPr>
        <xdr:cNvPr id="6" name="TextBox 5"/>
        <xdr:cNvSpPr txBox="1"/>
      </xdr:nvSpPr>
      <xdr:spPr>
        <a:xfrm>
          <a:off x="2542762" y="82832"/>
          <a:ext cx="3064564" cy="737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Нижний Новгород, </a:t>
          </a:r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Нижне-Волжская Набережная, 17/2, 3 этаж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9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+7 831 235 09 64</a:t>
          </a:r>
        </a:p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Москва, Долгопрудный, Лихачёвский проезд, 17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900" b="1" i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+7 499 403 37 44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12035</xdr:colOff>
      <xdr:row>0</xdr:row>
      <xdr:rowOff>0</xdr:rowOff>
    </xdr:from>
    <xdr:to>
      <xdr:col>12</xdr:col>
      <xdr:colOff>17876</xdr:colOff>
      <xdr:row>4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9209" y="0"/>
          <a:ext cx="2457493" cy="1466022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0</xdr:col>
      <xdr:colOff>82826</xdr:colOff>
      <xdr:row>0</xdr:row>
      <xdr:rowOff>167125</xdr:rowOff>
    </xdr:from>
    <xdr:to>
      <xdr:col>0</xdr:col>
      <xdr:colOff>1934164</xdr:colOff>
      <xdr:row>0</xdr:row>
      <xdr:rowOff>571500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A82EBB11-F4C4-407E-A4E4-1684061B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" y="167125"/>
          <a:ext cx="1851338" cy="404375"/>
        </a:xfrm>
        <a:prstGeom prst="rect">
          <a:avLst/>
        </a:prstGeom>
      </xdr:spPr>
    </xdr:pic>
    <xdr:clientData/>
  </xdr:twoCellAnchor>
  <xdr:oneCellAnchor>
    <xdr:from>
      <xdr:col>0</xdr:col>
      <xdr:colOff>2484783</xdr:colOff>
      <xdr:row>0</xdr:row>
      <xdr:rowOff>82826</xdr:rowOff>
    </xdr:from>
    <xdr:ext cx="2932043" cy="737146"/>
    <xdr:sp macro="" textlink="">
      <xdr:nvSpPr>
        <xdr:cNvPr id="5" name="TextBox 4"/>
        <xdr:cNvSpPr txBox="1"/>
      </xdr:nvSpPr>
      <xdr:spPr>
        <a:xfrm>
          <a:off x="2484783" y="82826"/>
          <a:ext cx="2932043" cy="737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Нижний Новгород, </a:t>
          </a:r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Нижне-Волжская Набережная, 17/2, 3 этаж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9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+7 831 235 09 64</a:t>
          </a:r>
        </a:p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Москва, Долгопрудный, Лихачёвский проезд, 17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900" b="1" i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+7 499 403 37 44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4969</xdr:colOff>
      <xdr:row>0</xdr:row>
      <xdr:rowOff>3276</xdr:rowOff>
    </xdr:from>
    <xdr:to>
      <xdr:col>12</xdr:col>
      <xdr:colOff>8282</xdr:colOff>
      <xdr:row>4</xdr:row>
      <xdr:rowOff>8023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9317" y="3276"/>
          <a:ext cx="2562639" cy="1528747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0</xdr:col>
      <xdr:colOff>82826</xdr:colOff>
      <xdr:row>0</xdr:row>
      <xdr:rowOff>233387</xdr:rowOff>
    </xdr:from>
    <xdr:to>
      <xdr:col>1</xdr:col>
      <xdr:colOff>211381</xdr:colOff>
      <xdr:row>1</xdr:row>
      <xdr:rowOff>66262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A82EBB11-F4C4-407E-A4E4-1684061B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" y="233387"/>
          <a:ext cx="1851338" cy="404375"/>
        </a:xfrm>
        <a:prstGeom prst="rect">
          <a:avLst/>
        </a:prstGeom>
      </xdr:spPr>
    </xdr:pic>
    <xdr:clientData/>
  </xdr:twoCellAnchor>
  <xdr:oneCellAnchor>
    <xdr:from>
      <xdr:col>1</xdr:col>
      <xdr:colOff>588065</xdr:colOff>
      <xdr:row>0</xdr:row>
      <xdr:rowOff>132522</xdr:rowOff>
    </xdr:from>
    <xdr:ext cx="2915478" cy="737146"/>
    <xdr:sp macro="" textlink="">
      <xdr:nvSpPr>
        <xdr:cNvPr id="5" name="TextBox 4"/>
        <xdr:cNvSpPr txBox="1"/>
      </xdr:nvSpPr>
      <xdr:spPr>
        <a:xfrm>
          <a:off x="2310848" y="132522"/>
          <a:ext cx="2915478" cy="737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Нижний Новгород, </a:t>
          </a:r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Нижне-Волжская Набережная, 17/2, 3 этаж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9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+7 831 235 09 64</a:t>
          </a:r>
        </a:p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Москва, Долгопрудный, Лихачёвский проезд, 17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900" b="1" i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+7 499 403 37 44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6628</xdr:colOff>
      <xdr:row>17</xdr:row>
      <xdr:rowOff>10754</xdr:rowOff>
    </xdr:from>
    <xdr:to>
      <xdr:col>3</xdr:col>
      <xdr:colOff>0</xdr:colOff>
      <xdr:row>18</xdr:row>
      <xdr:rowOff>3312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8150" y="4350841"/>
          <a:ext cx="1542220" cy="1069297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2</xdr:col>
      <xdr:colOff>6210</xdr:colOff>
      <xdr:row>11</xdr:row>
      <xdr:rowOff>880</xdr:rowOff>
    </xdr:from>
    <xdr:to>
      <xdr:col>3</xdr:col>
      <xdr:colOff>6112</xdr:colOff>
      <xdr:row>16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7732" y="2932923"/>
          <a:ext cx="1548750" cy="1158686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2</xdr:col>
      <xdr:colOff>4968</xdr:colOff>
      <xdr:row>3</xdr:row>
      <xdr:rowOff>245166</xdr:rowOff>
    </xdr:from>
    <xdr:to>
      <xdr:col>2</xdr:col>
      <xdr:colOff>1545947</xdr:colOff>
      <xdr:row>10</xdr:row>
      <xdr:rowOff>6745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490" y="1512405"/>
          <a:ext cx="1540979" cy="1177905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0</xdr:col>
      <xdr:colOff>91113</xdr:colOff>
      <xdr:row>0</xdr:row>
      <xdr:rowOff>216823</xdr:rowOff>
    </xdr:from>
    <xdr:to>
      <xdr:col>0</xdr:col>
      <xdr:colOff>1942451</xdr:colOff>
      <xdr:row>0</xdr:row>
      <xdr:rowOff>621198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A82EBB11-F4C4-407E-A4E4-1684061B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13" y="216823"/>
          <a:ext cx="1851338" cy="404375"/>
        </a:xfrm>
        <a:prstGeom prst="rect">
          <a:avLst/>
        </a:prstGeom>
      </xdr:spPr>
    </xdr:pic>
    <xdr:clientData/>
  </xdr:twoCellAnchor>
  <xdr:oneCellAnchor>
    <xdr:from>
      <xdr:col>0</xdr:col>
      <xdr:colOff>2219740</xdr:colOff>
      <xdr:row>0</xdr:row>
      <xdr:rowOff>132522</xdr:rowOff>
    </xdr:from>
    <xdr:ext cx="2915478" cy="737146"/>
    <xdr:sp macro="" textlink="">
      <xdr:nvSpPr>
        <xdr:cNvPr id="7" name="TextBox 6"/>
        <xdr:cNvSpPr txBox="1"/>
      </xdr:nvSpPr>
      <xdr:spPr>
        <a:xfrm>
          <a:off x="2219740" y="132522"/>
          <a:ext cx="2915478" cy="737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Нижний Новгород, </a:t>
          </a:r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Нижне-Волжская Набережная, 17/2, 3 этаж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9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+7 831 235 09 64</a:t>
          </a:r>
        </a:p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Москва, Долгопрудный, Лихачёвский проезд, 17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900" b="1" i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+7 499 403 37 44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4969</xdr:colOff>
      <xdr:row>19</xdr:row>
      <xdr:rowOff>6625</xdr:rowOff>
    </xdr:from>
    <xdr:to>
      <xdr:col>2</xdr:col>
      <xdr:colOff>1755912</xdr:colOff>
      <xdr:row>21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534" y="5150125"/>
          <a:ext cx="1750943" cy="622853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2</xdr:col>
      <xdr:colOff>6626</xdr:colOff>
      <xdr:row>4</xdr:row>
      <xdr:rowOff>8284</xdr:rowOff>
    </xdr:from>
    <xdr:to>
      <xdr:col>3</xdr:col>
      <xdr:colOff>1</xdr:colOff>
      <xdr:row>7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191" y="1524001"/>
          <a:ext cx="1749288" cy="861390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2</xdr:col>
      <xdr:colOff>4967</xdr:colOff>
      <xdr:row>15</xdr:row>
      <xdr:rowOff>10878</xdr:rowOff>
    </xdr:from>
    <xdr:to>
      <xdr:col>2</xdr:col>
      <xdr:colOff>1751872</xdr:colOff>
      <xdr:row>18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532" y="4036226"/>
          <a:ext cx="1746905" cy="858796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2</xdr:col>
      <xdr:colOff>7039</xdr:colOff>
      <xdr:row>8</xdr:row>
      <xdr:rowOff>4968</xdr:rowOff>
    </xdr:from>
    <xdr:to>
      <xdr:col>2</xdr:col>
      <xdr:colOff>1752586</xdr:colOff>
      <xdr:row>14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604" y="2638838"/>
          <a:ext cx="1745547" cy="1138032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2</xdr:col>
      <xdr:colOff>7040</xdr:colOff>
      <xdr:row>22</xdr:row>
      <xdr:rowOff>4969</xdr:rowOff>
    </xdr:from>
    <xdr:to>
      <xdr:col>3</xdr:col>
      <xdr:colOff>0</xdr:colOff>
      <xdr:row>27</xdr:row>
      <xdr:rowOff>186131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605" y="6026426"/>
          <a:ext cx="1748873" cy="1133662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0</xdr:col>
      <xdr:colOff>74543</xdr:colOff>
      <xdr:row>0</xdr:row>
      <xdr:rowOff>233389</xdr:rowOff>
    </xdr:from>
    <xdr:to>
      <xdr:col>0</xdr:col>
      <xdr:colOff>1925881</xdr:colOff>
      <xdr:row>0</xdr:row>
      <xdr:rowOff>637764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A82EBB11-F4C4-407E-A4E4-1684061B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3" y="233389"/>
          <a:ext cx="1851338" cy="404375"/>
        </a:xfrm>
        <a:prstGeom prst="rect">
          <a:avLst/>
        </a:prstGeom>
      </xdr:spPr>
    </xdr:pic>
    <xdr:clientData/>
  </xdr:twoCellAnchor>
  <xdr:oneCellAnchor>
    <xdr:from>
      <xdr:col>0</xdr:col>
      <xdr:colOff>2567608</xdr:colOff>
      <xdr:row>0</xdr:row>
      <xdr:rowOff>140804</xdr:rowOff>
    </xdr:from>
    <xdr:ext cx="2915478" cy="737146"/>
    <xdr:sp macro="" textlink="">
      <xdr:nvSpPr>
        <xdr:cNvPr id="9" name="TextBox 8"/>
        <xdr:cNvSpPr txBox="1"/>
      </xdr:nvSpPr>
      <xdr:spPr>
        <a:xfrm>
          <a:off x="2567608" y="140804"/>
          <a:ext cx="2915478" cy="737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Нижний Новгород, </a:t>
          </a:r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Нижне-Волжская Набережная, 17/2, 3 этаж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9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+7 831 235 09 64</a:t>
          </a:r>
        </a:p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Москва, Долгопрудный, Лихачёвский проезд, 17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900" b="1" i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+7 499 403 37 44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9941</xdr:colOff>
      <xdr:row>5</xdr:row>
      <xdr:rowOff>4969</xdr:rowOff>
    </xdr:from>
    <xdr:to>
      <xdr:col>8</xdr:col>
      <xdr:colOff>6428</xdr:colOff>
      <xdr:row>13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593" y="1802295"/>
          <a:ext cx="1967748" cy="1519031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8281</xdr:colOff>
      <xdr:row>51</xdr:row>
      <xdr:rowOff>2614</xdr:rowOff>
    </xdr:from>
    <xdr:to>
      <xdr:col>8</xdr:col>
      <xdr:colOff>4733</xdr:colOff>
      <xdr:row>58</xdr:row>
      <xdr:rowOff>99391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5126933" y="10571223"/>
          <a:ext cx="1967713" cy="1488255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2111</xdr:colOff>
      <xdr:row>61</xdr:row>
      <xdr:rowOff>9819</xdr:rowOff>
    </xdr:from>
    <xdr:to>
      <xdr:col>8</xdr:col>
      <xdr:colOff>5078</xdr:colOff>
      <xdr:row>68</xdr:row>
      <xdr:rowOff>16565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2263" y="12541406"/>
          <a:ext cx="1974228" cy="1398224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8283</xdr:colOff>
      <xdr:row>108</xdr:row>
      <xdr:rowOff>9940</xdr:rowOff>
    </xdr:from>
    <xdr:to>
      <xdr:col>8</xdr:col>
      <xdr:colOff>1046</xdr:colOff>
      <xdr:row>114</xdr:row>
      <xdr:rowOff>74544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8435" y="21553005"/>
          <a:ext cx="1964024" cy="1265582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8899</xdr:colOff>
      <xdr:row>118</xdr:row>
      <xdr:rowOff>7016</xdr:rowOff>
    </xdr:from>
    <xdr:to>
      <xdr:col>8</xdr:col>
      <xdr:colOff>2629</xdr:colOff>
      <xdr:row>125</xdr:row>
      <xdr:rowOff>8282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051" y="23513059"/>
          <a:ext cx="1964991" cy="1392745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4</xdr:col>
      <xdr:colOff>626165</xdr:colOff>
      <xdr:row>164</xdr:row>
      <xdr:rowOff>187188</xdr:rowOff>
    </xdr:from>
    <xdr:to>
      <xdr:col>8</xdr:col>
      <xdr:colOff>6596</xdr:colOff>
      <xdr:row>171</xdr:row>
      <xdr:rowOff>16566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8556" y="32514210"/>
          <a:ext cx="1989453" cy="1220856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4927</xdr:colOff>
      <xdr:row>175</xdr:row>
      <xdr:rowOff>4971</xdr:rowOff>
    </xdr:from>
    <xdr:to>
      <xdr:col>7</xdr:col>
      <xdr:colOff>743402</xdr:colOff>
      <xdr:row>182</xdr:row>
      <xdr:rowOff>82827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079" y="34485471"/>
          <a:ext cx="1964301" cy="1469334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4558</xdr:colOff>
      <xdr:row>222</xdr:row>
      <xdr:rowOff>2</xdr:rowOff>
    </xdr:from>
    <xdr:to>
      <xdr:col>8</xdr:col>
      <xdr:colOff>8257</xdr:colOff>
      <xdr:row>228</xdr:row>
      <xdr:rowOff>165653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4710" y="43491980"/>
          <a:ext cx="1974960" cy="1366630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1655</xdr:colOff>
      <xdr:row>232</xdr:row>
      <xdr:rowOff>4009</xdr:rowOff>
    </xdr:from>
    <xdr:to>
      <xdr:col>8</xdr:col>
      <xdr:colOff>178</xdr:colOff>
      <xdr:row>239</xdr:row>
      <xdr:rowOff>8283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807" y="45458966"/>
          <a:ext cx="1969784" cy="1395752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9941</xdr:colOff>
      <xdr:row>279</xdr:row>
      <xdr:rowOff>8281</xdr:rowOff>
    </xdr:from>
    <xdr:to>
      <xdr:col>8</xdr:col>
      <xdr:colOff>5738</xdr:colOff>
      <xdr:row>285</xdr:row>
      <xdr:rowOff>49696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0093" y="54474716"/>
          <a:ext cx="1967058" cy="1242393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9136</xdr:colOff>
      <xdr:row>289</xdr:row>
      <xdr:rowOff>11595</xdr:rowOff>
    </xdr:from>
    <xdr:to>
      <xdr:col>8</xdr:col>
      <xdr:colOff>8609</xdr:colOff>
      <xdr:row>296</xdr:row>
      <xdr:rowOff>16566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288" y="56441008"/>
          <a:ext cx="1970734" cy="1396449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6625</xdr:colOff>
      <xdr:row>336</xdr:row>
      <xdr:rowOff>11596</xdr:rowOff>
    </xdr:from>
    <xdr:to>
      <xdr:col>8</xdr:col>
      <xdr:colOff>8283</xdr:colOff>
      <xdr:row>342</xdr:row>
      <xdr:rowOff>53832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6777" y="65452487"/>
          <a:ext cx="1972919" cy="1243215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9151</xdr:colOff>
      <xdr:row>346</xdr:row>
      <xdr:rowOff>9940</xdr:rowOff>
    </xdr:from>
    <xdr:to>
      <xdr:col>7</xdr:col>
      <xdr:colOff>743230</xdr:colOff>
      <xdr:row>353</xdr:row>
      <xdr:rowOff>182217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303" y="67413810"/>
          <a:ext cx="1959905" cy="1563755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4</xdr:col>
      <xdr:colOff>635513</xdr:colOff>
      <xdr:row>392</xdr:row>
      <xdr:rowOff>190053</xdr:rowOff>
    </xdr:from>
    <xdr:to>
      <xdr:col>7</xdr:col>
      <xdr:colOff>744288</xdr:colOff>
      <xdr:row>399</xdr:row>
      <xdr:rowOff>132522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7904" y="76414901"/>
          <a:ext cx="1972362" cy="1333947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4971</xdr:colOff>
      <xdr:row>403</xdr:row>
      <xdr:rowOff>745</xdr:rowOff>
    </xdr:from>
    <xdr:to>
      <xdr:col>7</xdr:col>
      <xdr:colOff>741787</xdr:colOff>
      <xdr:row>410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123" y="78379071"/>
          <a:ext cx="1962642" cy="1390734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4968</xdr:colOff>
      <xdr:row>449</xdr:row>
      <xdr:rowOff>189755</xdr:rowOff>
    </xdr:from>
    <xdr:to>
      <xdr:col>7</xdr:col>
      <xdr:colOff>744555</xdr:colOff>
      <xdr:row>456</xdr:row>
      <xdr:rowOff>74544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120" y="87389059"/>
          <a:ext cx="1965413" cy="1276268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11304</xdr:colOff>
      <xdr:row>460</xdr:row>
      <xdr:rowOff>3313</xdr:rowOff>
    </xdr:from>
    <xdr:to>
      <xdr:col>8</xdr:col>
      <xdr:colOff>17115</xdr:colOff>
      <xdr:row>467</xdr:row>
      <xdr:rowOff>57979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456" y="89356096"/>
          <a:ext cx="1977072" cy="1446144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3313</xdr:colOff>
      <xdr:row>499</xdr:row>
      <xdr:rowOff>11053</xdr:rowOff>
    </xdr:from>
    <xdr:to>
      <xdr:col>8</xdr:col>
      <xdr:colOff>10691</xdr:colOff>
      <xdr:row>505</xdr:row>
      <xdr:rowOff>182219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465" y="96851314"/>
          <a:ext cx="1978639" cy="1372144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4971</xdr:colOff>
      <xdr:row>514</xdr:row>
      <xdr:rowOff>9786</xdr:rowOff>
    </xdr:from>
    <xdr:to>
      <xdr:col>8</xdr:col>
      <xdr:colOff>4546</xdr:colOff>
      <xdr:row>520</xdr:row>
      <xdr:rowOff>115958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123" y="99765525"/>
          <a:ext cx="1970836" cy="1307150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1655</xdr:colOff>
      <xdr:row>553</xdr:row>
      <xdr:rowOff>3946</xdr:rowOff>
    </xdr:from>
    <xdr:to>
      <xdr:col>8</xdr:col>
      <xdr:colOff>18197</xdr:colOff>
      <xdr:row>559</xdr:row>
      <xdr:rowOff>107674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807" y="107247163"/>
          <a:ext cx="1987803" cy="1304707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5540</xdr:colOff>
      <xdr:row>568</xdr:row>
      <xdr:rowOff>6625</xdr:rowOff>
    </xdr:from>
    <xdr:to>
      <xdr:col>8</xdr:col>
      <xdr:colOff>19385</xdr:colOff>
      <xdr:row>574</xdr:row>
      <xdr:rowOff>140804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692" y="110165321"/>
          <a:ext cx="1985106" cy="1335157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4</xdr:col>
      <xdr:colOff>636103</xdr:colOff>
      <xdr:row>607</xdr:row>
      <xdr:rowOff>8521</xdr:rowOff>
    </xdr:from>
    <xdr:to>
      <xdr:col>8</xdr:col>
      <xdr:colOff>8462</xdr:colOff>
      <xdr:row>613</xdr:row>
      <xdr:rowOff>182219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8494" y="117654695"/>
          <a:ext cx="1981381" cy="1374676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4</xdr:col>
      <xdr:colOff>634450</xdr:colOff>
      <xdr:row>622</xdr:row>
      <xdr:rowOff>2268</xdr:rowOff>
    </xdr:from>
    <xdr:to>
      <xdr:col>8</xdr:col>
      <xdr:colOff>2912</xdr:colOff>
      <xdr:row>629</xdr:row>
      <xdr:rowOff>16566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841" y="120563920"/>
          <a:ext cx="1977484" cy="1405776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5</xdr:col>
      <xdr:colOff>1452</xdr:colOff>
      <xdr:row>631</xdr:row>
      <xdr:rowOff>10341</xdr:rowOff>
    </xdr:from>
    <xdr:to>
      <xdr:col>8</xdr:col>
      <xdr:colOff>3206</xdr:colOff>
      <xdr:row>637</xdr:row>
      <xdr:rowOff>157370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604" y="122344471"/>
          <a:ext cx="1973015" cy="1348008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0</xdr:col>
      <xdr:colOff>66261</xdr:colOff>
      <xdr:row>0</xdr:row>
      <xdr:rowOff>208536</xdr:rowOff>
    </xdr:from>
    <xdr:to>
      <xdr:col>0</xdr:col>
      <xdr:colOff>1917599</xdr:colOff>
      <xdr:row>0</xdr:row>
      <xdr:rowOff>612911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A82EBB11-F4C4-407E-A4E4-1684061B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1" y="208536"/>
          <a:ext cx="1851338" cy="404375"/>
        </a:xfrm>
        <a:prstGeom prst="rect">
          <a:avLst/>
        </a:prstGeom>
      </xdr:spPr>
    </xdr:pic>
    <xdr:clientData/>
  </xdr:twoCellAnchor>
  <xdr:oneCellAnchor>
    <xdr:from>
      <xdr:col>0</xdr:col>
      <xdr:colOff>2633870</xdr:colOff>
      <xdr:row>0</xdr:row>
      <xdr:rowOff>115956</xdr:rowOff>
    </xdr:from>
    <xdr:ext cx="2915478" cy="737146"/>
    <xdr:sp macro="" textlink="">
      <xdr:nvSpPr>
        <xdr:cNvPr id="32" name="TextBox 31"/>
        <xdr:cNvSpPr txBox="1"/>
      </xdr:nvSpPr>
      <xdr:spPr>
        <a:xfrm>
          <a:off x="2633870" y="115956"/>
          <a:ext cx="2915478" cy="737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Нижний Новгород, </a:t>
          </a:r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Нижне-Волжская Набережная, 17/2, 3 этаж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9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+7 831 235 09 64</a:t>
          </a:r>
        </a:p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Москва, Долгопрудный, Лихачёвский проезд, 17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900" b="1" i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+7 499 403 37 44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16564</xdr:colOff>
      <xdr:row>50</xdr:row>
      <xdr:rowOff>154056</xdr:rowOff>
    </xdr:from>
    <xdr:to>
      <xdr:col>3</xdr:col>
      <xdr:colOff>571499</xdr:colOff>
      <xdr:row>50</xdr:row>
      <xdr:rowOff>985631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2" y="11625469"/>
          <a:ext cx="1167848" cy="831575"/>
        </a:xfrm>
        <a:prstGeom prst="rect">
          <a:avLst/>
        </a:prstGeom>
      </xdr:spPr>
    </xdr:pic>
    <xdr:clientData/>
  </xdr:twoCellAnchor>
  <xdr:twoCellAnchor editAs="oneCell">
    <xdr:from>
      <xdr:col>2</xdr:col>
      <xdr:colOff>134178</xdr:colOff>
      <xdr:row>52</xdr:row>
      <xdr:rowOff>127939</xdr:rowOff>
    </xdr:from>
    <xdr:to>
      <xdr:col>3</xdr:col>
      <xdr:colOff>562444</xdr:colOff>
      <xdr:row>52</xdr:row>
      <xdr:rowOff>902804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440287"/>
          <a:ext cx="1041179" cy="774865"/>
        </a:xfrm>
        <a:prstGeom prst="rect">
          <a:avLst/>
        </a:prstGeom>
      </xdr:spPr>
    </xdr:pic>
    <xdr:clientData/>
  </xdr:twoCellAnchor>
  <xdr:twoCellAnchor editAs="oneCell">
    <xdr:from>
      <xdr:col>2</xdr:col>
      <xdr:colOff>37686</xdr:colOff>
      <xdr:row>51</xdr:row>
      <xdr:rowOff>29818</xdr:rowOff>
    </xdr:from>
    <xdr:to>
      <xdr:col>3</xdr:col>
      <xdr:colOff>596348</xdr:colOff>
      <xdr:row>51</xdr:row>
      <xdr:rowOff>1064135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708" y="13240579"/>
          <a:ext cx="1171575" cy="1034317"/>
        </a:xfrm>
        <a:prstGeom prst="rect">
          <a:avLst/>
        </a:prstGeom>
      </xdr:spPr>
    </xdr:pic>
    <xdr:clientData/>
  </xdr:twoCellAnchor>
  <xdr:twoCellAnchor editAs="oneCell">
    <xdr:from>
      <xdr:col>2</xdr:col>
      <xdr:colOff>216590</xdr:colOff>
      <xdr:row>48</xdr:row>
      <xdr:rowOff>45143</xdr:rowOff>
    </xdr:from>
    <xdr:to>
      <xdr:col>3</xdr:col>
      <xdr:colOff>413302</xdr:colOff>
      <xdr:row>48</xdr:row>
      <xdr:rowOff>854768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438" y="9710947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248478</xdr:colOff>
      <xdr:row>49</xdr:row>
      <xdr:rowOff>115956</xdr:rowOff>
    </xdr:from>
    <xdr:to>
      <xdr:col>3</xdr:col>
      <xdr:colOff>381000</xdr:colOff>
      <xdr:row>49</xdr:row>
      <xdr:rowOff>948386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326" y="10494065"/>
          <a:ext cx="745435" cy="832430"/>
        </a:xfrm>
        <a:prstGeom prst="rect">
          <a:avLst/>
        </a:prstGeom>
      </xdr:spPr>
    </xdr:pic>
    <xdr:clientData/>
  </xdr:twoCellAnchor>
  <xdr:twoCellAnchor editAs="oneCell">
    <xdr:from>
      <xdr:col>4</xdr:col>
      <xdr:colOff>74544</xdr:colOff>
      <xdr:row>50</xdr:row>
      <xdr:rowOff>82825</xdr:rowOff>
    </xdr:from>
    <xdr:to>
      <xdr:col>6</xdr:col>
      <xdr:colOff>563218</xdr:colOff>
      <xdr:row>50</xdr:row>
      <xdr:rowOff>1167509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392" y="12109173"/>
          <a:ext cx="1714500" cy="1084684"/>
        </a:xfrm>
        <a:prstGeom prst="rect">
          <a:avLst/>
        </a:prstGeom>
      </xdr:spPr>
    </xdr:pic>
    <xdr:clientData/>
  </xdr:twoCellAnchor>
  <xdr:twoCellAnchor editAs="oneCell">
    <xdr:from>
      <xdr:col>4</xdr:col>
      <xdr:colOff>173934</xdr:colOff>
      <xdr:row>51</xdr:row>
      <xdr:rowOff>66262</xdr:rowOff>
    </xdr:from>
    <xdr:to>
      <xdr:col>6</xdr:col>
      <xdr:colOff>455543</xdr:colOff>
      <xdr:row>51</xdr:row>
      <xdr:rowOff>1050390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3782" y="13277023"/>
          <a:ext cx="1507435" cy="984128"/>
        </a:xfrm>
        <a:prstGeom prst="rect">
          <a:avLst/>
        </a:prstGeom>
      </xdr:spPr>
    </xdr:pic>
    <xdr:clientData/>
  </xdr:twoCellAnchor>
  <xdr:twoCellAnchor editAs="oneCell">
    <xdr:from>
      <xdr:col>4</xdr:col>
      <xdr:colOff>91110</xdr:colOff>
      <xdr:row>52</xdr:row>
      <xdr:rowOff>115960</xdr:rowOff>
    </xdr:from>
    <xdr:to>
      <xdr:col>6</xdr:col>
      <xdr:colOff>505239</xdr:colOff>
      <xdr:row>52</xdr:row>
      <xdr:rowOff>977531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958" y="14428308"/>
          <a:ext cx="1639955" cy="861571"/>
        </a:xfrm>
        <a:prstGeom prst="rect">
          <a:avLst/>
        </a:prstGeom>
      </xdr:spPr>
    </xdr:pic>
    <xdr:clientData/>
  </xdr:twoCellAnchor>
  <xdr:twoCellAnchor editAs="oneCell">
    <xdr:from>
      <xdr:col>4</xdr:col>
      <xdr:colOff>57978</xdr:colOff>
      <xdr:row>48</xdr:row>
      <xdr:rowOff>397566</xdr:rowOff>
    </xdr:from>
    <xdr:to>
      <xdr:col>6</xdr:col>
      <xdr:colOff>513522</xdr:colOff>
      <xdr:row>49</xdr:row>
      <xdr:rowOff>569844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8652" y="10063370"/>
          <a:ext cx="168137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10463</xdr:colOff>
      <xdr:row>34</xdr:row>
      <xdr:rowOff>11451</xdr:rowOff>
    </xdr:from>
    <xdr:to>
      <xdr:col>6</xdr:col>
      <xdr:colOff>605587</xdr:colOff>
      <xdr:row>44</xdr:row>
      <xdr:rowOff>165652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485" y="7366408"/>
          <a:ext cx="3046776" cy="2059201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0</xdr:col>
      <xdr:colOff>66260</xdr:colOff>
      <xdr:row>0</xdr:row>
      <xdr:rowOff>142276</xdr:rowOff>
    </xdr:from>
    <xdr:to>
      <xdr:col>0</xdr:col>
      <xdr:colOff>1917598</xdr:colOff>
      <xdr:row>0</xdr:row>
      <xdr:rowOff>546651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A82EBB11-F4C4-407E-A4E4-1684061B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0" y="142276"/>
          <a:ext cx="1851338" cy="404375"/>
        </a:xfrm>
        <a:prstGeom prst="rect">
          <a:avLst/>
        </a:prstGeom>
      </xdr:spPr>
    </xdr:pic>
    <xdr:clientData/>
  </xdr:twoCellAnchor>
  <xdr:twoCellAnchor editAs="oneCell">
    <xdr:from>
      <xdr:col>2</xdr:col>
      <xdr:colOff>9936</xdr:colOff>
      <xdr:row>4</xdr:row>
      <xdr:rowOff>246679</xdr:rowOff>
    </xdr:from>
    <xdr:to>
      <xdr:col>7</xdr:col>
      <xdr:colOff>2524</xdr:colOff>
      <xdr:row>15</xdr:row>
      <xdr:rowOff>8283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958" y="1770679"/>
          <a:ext cx="3057153" cy="1915082"/>
        </a:xfrm>
        <a:prstGeom prst="rect">
          <a:avLst/>
        </a:prstGeom>
        <a:effectLst>
          <a:softEdge rad="0"/>
        </a:effectLst>
      </xdr:spPr>
    </xdr:pic>
    <xdr:clientData/>
  </xdr:twoCellAnchor>
  <xdr:oneCellAnchor>
    <xdr:from>
      <xdr:col>0</xdr:col>
      <xdr:colOff>2932043</xdr:colOff>
      <xdr:row>0</xdr:row>
      <xdr:rowOff>49695</xdr:rowOff>
    </xdr:from>
    <xdr:ext cx="2915478" cy="737146"/>
    <xdr:sp macro="" textlink="">
      <xdr:nvSpPr>
        <xdr:cNvPr id="19" name="TextBox 18"/>
        <xdr:cNvSpPr txBox="1"/>
      </xdr:nvSpPr>
      <xdr:spPr>
        <a:xfrm>
          <a:off x="2932043" y="49695"/>
          <a:ext cx="2915478" cy="737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Нижний Новгород, </a:t>
          </a:r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Нижне-Волжская Набережная, 17/2, 3 этаж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9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+7 831 235 09 64</a:t>
          </a:r>
        </a:p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Москва, Долгопрудный, Лихачёвский проезд, 17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900" b="1" i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+7 499 403 37 44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8282</xdr:colOff>
      <xdr:row>0</xdr:row>
      <xdr:rowOff>0</xdr:rowOff>
    </xdr:from>
    <xdr:to>
      <xdr:col>8</xdr:col>
      <xdr:colOff>43592</xdr:colOff>
      <xdr:row>3</xdr:row>
      <xdr:rowOff>240195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7956" y="0"/>
          <a:ext cx="2520093" cy="1499152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0</xdr:col>
      <xdr:colOff>74543</xdr:colOff>
      <xdr:row>0</xdr:row>
      <xdr:rowOff>183691</xdr:rowOff>
    </xdr:from>
    <xdr:to>
      <xdr:col>0</xdr:col>
      <xdr:colOff>1925881</xdr:colOff>
      <xdr:row>0</xdr:row>
      <xdr:rowOff>588066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A82EBB11-F4C4-407E-A4E4-1684061B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3" y="183691"/>
          <a:ext cx="1851338" cy="404375"/>
        </a:xfrm>
        <a:prstGeom prst="rect">
          <a:avLst/>
        </a:prstGeom>
      </xdr:spPr>
    </xdr:pic>
    <xdr:clientData/>
  </xdr:twoCellAnchor>
  <xdr:oneCellAnchor>
    <xdr:from>
      <xdr:col>0</xdr:col>
      <xdr:colOff>2128630</xdr:colOff>
      <xdr:row>0</xdr:row>
      <xdr:rowOff>82826</xdr:rowOff>
    </xdr:from>
    <xdr:ext cx="2377109" cy="737146"/>
    <xdr:sp macro="" textlink="">
      <xdr:nvSpPr>
        <xdr:cNvPr id="5" name="TextBox 4"/>
        <xdr:cNvSpPr txBox="1"/>
      </xdr:nvSpPr>
      <xdr:spPr>
        <a:xfrm>
          <a:off x="2128630" y="82826"/>
          <a:ext cx="2377109" cy="737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Нижний Новгород, </a:t>
          </a:r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Нижне-Волжская Набережная, 17/2, 3 этаж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9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+7 831 235 09 64</a:t>
          </a:r>
        </a:p>
        <a:p>
          <a:r>
            <a:rPr lang="ru-RU" sz="80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Москва, Долгопрудный, Лихачёвский проезд, 17</a:t>
          </a:r>
          <a:endParaRPr lang="en-US" sz="800">
            <a:solidFill>
              <a:schemeClr val="tx1">
                <a:lumMod val="50000"/>
                <a:lumOff val="50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900" b="1" i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+7 499 403 37 44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zavodks.ru/" TargetMode="External"/><Relationship Id="rId1" Type="http://schemas.openxmlformats.org/officeDocument/2006/relationships/hyperlink" Target="mailto:mail@zavodks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tabSelected="1" workbookViewId="0">
      <pane xSplit="11" ySplit="9" topLeftCell="L10" activePane="bottomRight" state="frozen"/>
      <selection pane="topRight" activeCell="L1" sqref="L1"/>
      <selection pane="bottomLeft" activeCell="A7" sqref="A7"/>
      <selection pane="bottomRight" activeCell="K20" sqref="A20:K20"/>
    </sheetView>
  </sheetViews>
  <sheetFormatPr defaultRowHeight="15" x14ac:dyDescent="0.25"/>
  <cols>
    <col min="1" max="1" width="17.5703125" customWidth="1"/>
    <col min="3" max="4" width="14.28515625" customWidth="1"/>
    <col min="5" max="5" width="21.28515625" customWidth="1"/>
    <col min="6" max="6" width="14" customWidth="1"/>
    <col min="7" max="7" width="9.28515625" customWidth="1"/>
    <col min="8" max="8" width="20.85546875" customWidth="1"/>
    <col min="9" max="9" width="13.5703125" customWidth="1"/>
    <col min="10" max="10" width="11.7109375" customWidth="1"/>
    <col min="11" max="11" width="13" customWidth="1"/>
  </cols>
  <sheetData>
    <row r="1" spans="1:11" ht="15" customHeight="1" x14ac:dyDescent="0.25">
      <c r="A1" s="40"/>
      <c r="B1" s="40"/>
      <c r="C1" s="40"/>
      <c r="D1" s="40"/>
      <c r="E1" s="57"/>
      <c r="F1" s="58"/>
      <c r="G1" s="40"/>
      <c r="H1" s="40"/>
      <c r="I1" s="46"/>
      <c r="J1" s="46"/>
      <c r="K1" s="46"/>
    </row>
    <row r="2" spans="1:11" ht="15" customHeight="1" x14ac:dyDescent="0.25">
      <c r="A2" s="40"/>
      <c r="B2" s="40"/>
      <c r="C2" s="40"/>
      <c r="D2" s="40"/>
      <c r="E2" s="59" t="s">
        <v>1023</v>
      </c>
      <c r="F2" s="59" t="s">
        <v>1025</v>
      </c>
      <c r="G2" s="43"/>
      <c r="H2" s="40"/>
      <c r="I2" s="135" t="s">
        <v>1024</v>
      </c>
      <c r="J2" s="135"/>
      <c r="K2" s="135"/>
    </row>
    <row r="3" spans="1:11" ht="9" customHeight="1" x14ac:dyDescent="0.25">
      <c r="A3" s="40"/>
      <c r="B3" s="40"/>
      <c r="C3" s="40"/>
      <c r="D3" s="40"/>
      <c r="E3" s="44"/>
      <c r="F3" s="43"/>
      <c r="G3" s="43"/>
      <c r="H3" s="40"/>
      <c r="I3" s="135"/>
      <c r="J3" s="135"/>
      <c r="K3" s="135"/>
    </row>
    <row r="4" spans="1:11" ht="13.5" customHeight="1" x14ac:dyDescent="0.25">
      <c r="A4" s="40"/>
      <c r="B4" s="40"/>
      <c r="C4" s="40"/>
      <c r="D4" s="40"/>
      <c r="E4" s="133" t="s">
        <v>1031</v>
      </c>
      <c r="F4" s="45"/>
      <c r="G4" s="45"/>
      <c r="H4" s="42"/>
      <c r="I4" s="135"/>
      <c r="J4" s="135"/>
      <c r="K4" s="135"/>
    </row>
    <row r="5" spans="1:11" ht="15" customHeight="1" x14ac:dyDescent="0.25">
      <c r="A5" s="40"/>
      <c r="B5" s="40"/>
      <c r="C5" s="40"/>
      <c r="D5" s="40"/>
      <c r="E5" s="50" t="s">
        <v>1028</v>
      </c>
      <c r="F5" s="45"/>
      <c r="G5" s="45"/>
      <c r="H5" s="40"/>
      <c r="I5" s="135"/>
      <c r="J5" s="135"/>
      <c r="K5" s="135"/>
    </row>
    <row r="6" spans="1:11" ht="4.5" customHeight="1" x14ac:dyDescent="0.25">
      <c r="A6" s="40"/>
      <c r="B6" s="40"/>
      <c r="C6" s="40"/>
      <c r="D6" s="40"/>
      <c r="E6" s="45"/>
      <c r="F6" s="45"/>
      <c r="G6" s="45"/>
      <c r="H6" s="40"/>
      <c r="I6" s="135"/>
      <c r="J6" s="135"/>
      <c r="K6" s="135"/>
    </row>
    <row r="7" spans="1:11" ht="15" customHeight="1" x14ac:dyDescent="0.25">
      <c r="A7" s="40"/>
      <c r="B7" s="40"/>
      <c r="C7" s="40"/>
      <c r="D7" s="40"/>
      <c r="E7" s="139" t="s">
        <v>1026</v>
      </c>
      <c r="F7" s="139"/>
      <c r="G7" s="139"/>
      <c r="H7" s="139"/>
      <c r="I7" s="135"/>
      <c r="J7" s="135"/>
      <c r="K7" s="135"/>
    </row>
    <row r="8" spans="1:11" ht="15" customHeight="1" x14ac:dyDescent="0.25">
      <c r="A8" s="40"/>
      <c r="B8" s="40"/>
      <c r="C8" s="40"/>
      <c r="D8" s="40"/>
      <c r="E8" s="50" t="s">
        <v>1027</v>
      </c>
      <c r="F8" s="45"/>
      <c r="G8" s="45"/>
      <c r="H8" s="40"/>
      <c r="I8" s="135"/>
      <c r="J8" s="135"/>
      <c r="K8" s="135"/>
    </row>
    <row r="9" spans="1:11" ht="32.25" customHeight="1" x14ac:dyDescent="0.25">
      <c r="A9" s="41"/>
      <c r="B9" s="41"/>
      <c r="C9" s="41"/>
      <c r="D9" s="41"/>
      <c r="E9" s="48" t="s">
        <v>1020</v>
      </c>
      <c r="F9" s="48"/>
      <c r="G9" s="48"/>
      <c r="H9" s="41"/>
      <c r="I9" s="135"/>
      <c r="J9" s="135"/>
      <c r="K9" s="135"/>
    </row>
    <row r="10" spans="1:11" ht="30" customHeight="1" x14ac:dyDescent="0.3">
      <c r="A10" s="47"/>
      <c r="B10" s="134" t="s">
        <v>1008</v>
      </c>
      <c r="C10" s="134"/>
      <c r="D10" s="134"/>
      <c r="E10" s="136" t="s">
        <v>84</v>
      </c>
      <c r="F10" s="51"/>
      <c r="G10" s="134" t="s">
        <v>1013</v>
      </c>
      <c r="H10" s="134"/>
      <c r="I10" s="134"/>
      <c r="J10" s="47"/>
      <c r="K10" s="47"/>
    </row>
    <row r="11" spans="1:11" ht="9.9499999999999993" customHeight="1" x14ac:dyDescent="0.3">
      <c r="A11" s="47"/>
      <c r="B11" s="55"/>
      <c r="C11" s="55"/>
      <c r="D11" s="55"/>
      <c r="E11" s="136"/>
      <c r="F11" s="51"/>
      <c r="G11" s="55"/>
      <c r="H11" s="55"/>
      <c r="I11" s="55"/>
      <c r="J11" s="47"/>
      <c r="K11" s="47"/>
    </row>
    <row r="12" spans="1:11" ht="30" customHeight="1" x14ac:dyDescent="0.3">
      <c r="A12" s="47"/>
      <c r="B12" s="134" t="s">
        <v>1009</v>
      </c>
      <c r="C12" s="134"/>
      <c r="D12" s="55"/>
      <c r="E12" s="137">
        <v>-15</v>
      </c>
      <c r="F12" s="51"/>
      <c r="G12" s="134" t="s">
        <v>1014</v>
      </c>
      <c r="H12" s="134"/>
      <c r="I12" s="134"/>
      <c r="J12" s="47"/>
      <c r="K12" s="47"/>
    </row>
    <row r="13" spans="1:11" ht="9.9499999999999993" customHeight="1" x14ac:dyDescent="0.3">
      <c r="A13" s="47"/>
      <c r="B13" s="55"/>
      <c r="C13" s="55"/>
      <c r="D13" s="55"/>
      <c r="E13" s="138"/>
      <c r="F13" s="51"/>
      <c r="G13" s="56"/>
      <c r="H13" s="56"/>
      <c r="I13" s="56"/>
      <c r="J13" s="47"/>
      <c r="K13" s="47"/>
    </row>
    <row r="14" spans="1:11" ht="30" customHeight="1" x14ac:dyDescent="0.3">
      <c r="A14" s="47"/>
      <c r="B14" s="134" t="s">
        <v>1010</v>
      </c>
      <c r="C14" s="134"/>
      <c r="D14" s="56"/>
      <c r="E14" s="52"/>
      <c r="F14" s="51"/>
      <c r="G14" s="134" t="s">
        <v>1015</v>
      </c>
      <c r="H14" s="134"/>
      <c r="I14" s="134"/>
      <c r="J14" s="47"/>
      <c r="K14" s="47"/>
    </row>
    <row r="15" spans="1:11" ht="9.9499999999999993" customHeight="1" x14ac:dyDescent="0.3">
      <c r="A15" s="47"/>
      <c r="B15" s="56"/>
      <c r="C15" s="56"/>
      <c r="D15" s="56"/>
      <c r="E15" s="51"/>
      <c r="F15" s="51"/>
      <c r="G15" s="56"/>
      <c r="H15" s="56"/>
      <c r="I15" s="56"/>
      <c r="J15" s="47"/>
      <c r="K15" s="47"/>
    </row>
    <row r="16" spans="1:11" ht="30" customHeight="1" x14ac:dyDescent="0.3">
      <c r="A16" s="47"/>
      <c r="B16" s="134" t="s">
        <v>1011</v>
      </c>
      <c r="C16" s="134"/>
      <c r="D16" s="134"/>
      <c r="E16" s="51"/>
      <c r="F16" s="51"/>
      <c r="G16" s="134" t="s">
        <v>1016</v>
      </c>
      <c r="H16" s="134"/>
      <c r="I16" s="134"/>
      <c r="J16" s="47"/>
      <c r="K16" s="47"/>
    </row>
    <row r="17" spans="1:11" ht="9.9499999999999993" customHeight="1" x14ac:dyDescent="0.3">
      <c r="A17" s="47"/>
      <c r="B17" s="56"/>
      <c r="C17" s="56"/>
      <c r="D17" s="56"/>
      <c r="E17" s="51"/>
      <c r="F17" s="51"/>
      <c r="G17" s="56"/>
      <c r="H17" s="56"/>
      <c r="I17" s="56"/>
      <c r="J17" s="47"/>
      <c r="K17" s="47"/>
    </row>
    <row r="18" spans="1:11" ht="30" customHeight="1" x14ac:dyDescent="0.3">
      <c r="A18" s="47"/>
      <c r="B18" s="134" t="s">
        <v>1012</v>
      </c>
      <c r="C18" s="134"/>
      <c r="D18" s="134"/>
      <c r="E18" s="51"/>
      <c r="F18" s="51"/>
      <c r="G18" s="134" t="s">
        <v>1017</v>
      </c>
      <c r="H18" s="134"/>
      <c r="I18" s="56"/>
      <c r="J18" s="47"/>
      <c r="K18" s="47"/>
    </row>
    <row r="19" spans="1:11" ht="26.25" customHeight="1" x14ac:dyDescent="0.25">
      <c r="A19" s="47"/>
      <c r="B19" s="53"/>
      <c r="C19" s="53"/>
      <c r="D19" s="53"/>
      <c r="E19" s="54"/>
      <c r="F19" s="54"/>
      <c r="G19" s="54"/>
      <c r="H19" s="54"/>
      <c r="I19" s="54"/>
      <c r="J19" s="47"/>
      <c r="K19" s="47"/>
    </row>
    <row r="20" spans="1:11" ht="21.75" customHeight="1" x14ac:dyDescent="0.2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</row>
  </sheetData>
  <sheetProtection algorithmName="SHA-512" hashValue="lF5XsFhoRQOv6+0BI2hLN0UJiOg1B1CGhGkXO/5bNz2CJyid1PfRvt0baHhj0yFSDpot5ZGEenNx54GM8C1J1Q==" saltValue="jVEOs6b9pOQvmagZ2JgRUQ==" spinCount="100000" sheet="1" objects="1" scenarios="1"/>
  <mergeCells count="14">
    <mergeCell ref="I2:K9"/>
    <mergeCell ref="G18:H18"/>
    <mergeCell ref="E10:E11"/>
    <mergeCell ref="E12:E13"/>
    <mergeCell ref="G10:I10"/>
    <mergeCell ref="G12:I12"/>
    <mergeCell ref="G14:I14"/>
    <mergeCell ref="G16:I16"/>
    <mergeCell ref="E7:H7"/>
    <mergeCell ref="B10:D10"/>
    <mergeCell ref="B12:C12"/>
    <mergeCell ref="B14:C14"/>
    <mergeCell ref="B16:D16"/>
    <mergeCell ref="B18:D18"/>
  </mergeCells>
  <hyperlinks>
    <hyperlink ref="B10:D10" location="'ЛП лоток перф'!R1C1" display="1. Лоток перфорированный"/>
    <hyperlink ref="B12:C12" location="'ЛГ лоток глухой'!R1C1" display="2. Лоток глухой"/>
    <hyperlink ref="B14:C14" location="'КЛ Крышка лотка'!R1C1" display="3. Крышка лотка"/>
    <hyperlink ref="B16:D16" location="'Полки,Стойки'!R1C1" display="4. Полки, стойки, ГЭМ"/>
    <hyperlink ref="B18:D18" location="Профиль!R1C1" display="5. Профиль для монтажа"/>
    <hyperlink ref="G10:I10" location="Аксессуары!R1C1" display="6. Аксессуары"/>
    <hyperlink ref="G12:I12" location="'Проволчный лоток'!R1C1" display="7. Проволочный лоток"/>
    <hyperlink ref="G14:I14" location="'НЛ Лестничный лоток'!R1C1" display="8. Лестничный лоток"/>
    <hyperlink ref="G16:I16" location="'Системы подвеса'!R1C1" display="9. Системы подвеса"/>
    <hyperlink ref="G18:H18" location="Крепеж!R1C1" display="10. Крепеж"/>
    <hyperlink ref="F2" r:id="rId1"/>
    <hyperlink ref="E2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zoomScale="115" zoomScaleNormal="115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B4" sqref="B4:D4"/>
    </sheetView>
  </sheetViews>
  <sheetFormatPr defaultRowHeight="15" x14ac:dyDescent="0.25"/>
  <cols>
    <col min="1" max="1" width="44.5703125" customWidth="1"/>
    <col min="2" max="2" width="12.140625" customWidth="1"/>
    <col min="4" max="4" width="17.42578125" customWidth="1"/>
    <col min="7" max="7" width="13.28515625" customWidth="1"/>
    <col min="8" max="8" width="1.85546875" customWidth="1"/>
  </cols>
  <sheetData>
    <row r="1" spans="1:8" ht="58.5" customHeight="1" x14ac:dyDescent="0.35">
      <c r="A1" s="174"/>
      <c r="B1" s="174"/>
      <c r="C1" s="157" t="s">
        <v>84</v>
      </c>
      <c r="D1" s="157"/>
      <c r="E1" s="140" t="s">
        <v>1019</v>
      </c>
      <c r="F1" s="140"/>
      <c r="G1" s="140"/>
      <c r="H1" s="105"/>
    </row>
    <row r="2" spans="1:8" ht="15" customHeight="1" x14ac:dyDescent="0.45">
      <c r="A2" s="115"/>
      <c r="B2" s="116"/>
      <c r="C2" s="86">
        <f>5+ГЛАВНАЯ!E12</f>
        <v>-10</v>
      </c>
      <c r="D2" s="86"/>
      <c r="E2" s="140"/>
      <c r="F2" s="140"/>
      <c r="G2" s="140"/>
      <c r="H2" s="105"/>
    </row>
    <row r="3" spans="1:8" ht="24.95" customHeight="1" x14ac:dyDescent="0.25">
      <c r="A3" s="163" t="s">
        <v>1021</v>
      </c>
      <c r="B3" s="163"/>
      <c r="C3" s="163"/>
      <c r="D3" s="163"/>
      <c r="E3" s="140"/>
      <c r="F3" s="140"/>
      <c r="G3" s="105"/>
      <c r="H3" s="105"/>
    </row>
    <row r="4" spans="1:8" ht="20.100000000000001" customHeight="1" x14ac:dyDescent="0.25">
      <c r="A4" s="85" t="s">
        <v>217</v>
      </c>
      <c r="B4" s="207" t="s">
        <v>99</v>
      </c>
      <c r="C4" s="207"/>
      <c r="D4" s="167"/>
      <c r="E4" s="39" t="s">
        <v>1018</v>
      </c>
      <c r="F4" s="37"/>
      <c r="G4" s="37"/>
    </row>
    <row r="5" spans="1:8" x14ac:dyDescent="0.25">
      <c r="A5" s="123" t="s">
        <v>3</v>
      </c>
      <c r="B5" s="124">
        <f>56*(100-C$2)/100</f>
        <v>61.6</v>
      </c>
      <c r="C5" s="17"/>
      <c r="D5" s="17"/>
    </row>
    <row r="6" spans="1:8" x14ac:dyDescent="0.25">
      <c r="A6" s="21" t="s">
        <v>219</v>
      </c>
      <c r="B6" s="18">
        <f>75*(100-C$2)/100</f>
        <v>82.5</v>
      </c>
      <c r="C6" s="17"/>
      <c r="D6" s="17"/>
    </row>
    <row r="7" spans="1:8" x14ac:dyDescent="0.25">
      <c r="A7" s="21" t="s">
        <v>4</v>
      </c>
      <c r="B7" s="18">
        <f>98*(100-C$2)/100</f>
        <v>107.8</v>
      </c>
      <c r="C7" s="17"/>
      <c r="D7" s="17"/>
    </row>
    <row r="8" spans="1:8" x14ac:dyDescent="0.25">
      <c r="A8" s="21" t="s">
        <v>5</v>
      </c>
      <c r="B8" s="18">
        <f>122*(100-C$2)/100</f>
        <v>134.19999999999999</v>
      </c>
      <c r="C8" s="17"/>
      <c r="D8" s="17"/>
    </row>
    <row r="9" spans="1:8" x14ac:dyDescent="0.25">
      <c r="A9" s="21" t="s">
        <v>6</v>
      </c>
      <c r="B9" s="18">
        <f>154*(100-C$2)/100</f>
        <v>169.4</v>
      </c>
      <c r="C9" s="17"/>
      <c r="D9" s="17"/>
    </row>
    <row r="10" spans="1:8" x14ac:dyDescent="0.25">
      <c r="A10" s="21" t="s">
        <v>7</v>
      </c>
      <c r="B10" s="18">
        <f>201*(100-C$2)/100</f>
        <v>221.1</v>
      </c>
      <c r="C10" s="17"/>
      <c r="D10" s="17"/>
    </row>
    <row r="11" spans="1:8" x14ac:dyDescent="0.25">
      <c r="A11" s="21" t="s">
        <v>8</v>
      </c>
      <c r="B11" s="18">
        <f>249*(100-C$2)/100</f>
        <v>273.89999999999998</v>
      </c>
      <c r="C11" s="17"/>
      <c r="D11" s="17"/>
    </row>
    <row r="12" spans="1:8" x14ac:dyDescent="0.25">
      <c r="A12" s="21" t="s">
        <v>9</v>
      </c>
      <c r="B12" s="18">
        <f>34*(100-C$2)/100</f>
        <v>37.4</v>
      </c>
      <c r="C12" s="17"/>
      <c r="D12" s="17"/>
    </row>
    <row r="13" spans="1:8" x14ac:dyDescent="0.25">
      <c r="A13" s="21" t="s">
        <v>220</v>
      </c>
      <c r="B13" s="18">
        <f>49*(100-C$2)/100</f>
        <v>53.9</v>
      </c>
      <c r="C13" s="17"/>
      <c r="D13" s="17"/>
    </row>
    <row r="14" spans="1:8" x14ac:dyDescent="0.25">
      <c r="A14" s="21" t="s">
        <v>10</v>
      </c>
      <c r="B14" s="18">
        <f>66*(100-C$2)/100</f>
        <v>72.599999999999994</v>
      </c>
      <c r="C14" s="17"/>
      <c r="D14" s="17"/>
    </row>
    <row r="15" spans="1:8" x14ac:dyDescent="0.25">
      <c r="A15" s="21" t="s">
        <v>11</v>
      </c>
      <c r="B15" s="18">
        <f>113*(100-C$2)/100</f>
        <v>124.3</v>
      </c>
      <c r="C15" s="17"/>
      <c r="D15" s="17"/>
    </row>
    <row r="16" spans="1:8" x14ac:dyDescent="0.25">
      <c r="A16" s="21" t="s">
        <v>12</v>
      </c>
      <c r="B16" s="18">
        <f>152*(100-C$2)/100</f>
        <v>167.2</v>
      </c>
      <c r="C16" s="17"/>
      <c r="D16" s="17"/>
    </row>
    <row r="17" spans="1:4" x14ac:dyDescent="0.25">
      <c r="A17" s="21" t="s">
        <v>13</v>
      </c>
      <c r="B17" s="18">
        <f>190*(100-C$2)/100</f>
        <v>209</v>
      </c>
      <c r="C17" s="17"/>
      <c r="D17" s="17"/>
    </row>
    <row r="18" spans="1:4" x14ac:dyDescent="0.25">
      <c r="A18" s="21" t="s">
        <v>14</v>
      </c>
      <c r="B18" s="18">
        <f>273*(100-C$2)/100</f>
        <v>300.3</v>
      </c>
      <c r="C18" s="17"/>
      <c r="D18" s="17"/>
    </row>
    <row r="19" spans="1:4" x14ac:dyDescent="0.25">
      <c r="A19" s="21" t="s">
        <v>21</v>
      </c>
      <c r="B19" s="18">
        <f>80*(100-C$2)/100</f>
        <v>88</v>
      </c>
      <c r="C19" s="17"/>
      <c r="D19" s="17"/>
    </row>
    <row r="20" spans="1:4" x14ac:dyDescent="0.25">
      <c r="A20" s="21" t="s">
        <v>22</v>
      </c>
      <c r="B20" s="18">
        <f>87*(100-C$2)/100</f>
        <v>95.7</v>
      </c>
      <c r="C20" s="17"/>
      <c r="D20" s="17"/>
    </row>
    <row r="21" spans="1:4" x14ac:dyDescent="0.25">
      <c r="A21" s="21" t="s">
        <v>23</v>
      </c>
      <c r="B21" s="18">
        <f>101*(100-C$2)/100</f>
        <v>111.1</v>
      </c>
      <c r="C21" s="17"/>
      <c r="D21" s="17"/>
    </row>
    <row r="22" spans="1:4" x14ac:dyDescent="0.25">
      <c r="A22" s="21" t="s">
        <v>24</v>
      </c>
      <c r="B22" s="18">
        <f>116*(100-C$2)/100</f>
        <v>127.6</v>
      </c>
      <c r="C22" s="17"/>
      <c r="D22" s="17"/>
    </row>
    <row r="23" spans="1:4" x14ac:dyDescent="0.25">
      <c r="A23" s="21" t="s">
        <v>25</v>
      </c>
      <c r="B23" s="18">
        <f>132*(100-C$2)/100</f>
        <v>145.19999999999999</v>
      </c>
      <c r="C23" s="17"/>
      <c r="D23" s="17"/>
    </row>
    <row r="24" spans="1:4" x14ac:dyDescent="0.25">
      <c r="A24" s="21" t="s">
        <v>15</v>
      </c>
      <c r="B24" s="18">
        <f>24*(100-C$2)/100</f>
        <v>26.4</v>
      </c>
      <c r="C24" s="17"/>
      <c r="D24" s="17"/>
    </row>
    <row r="25" spans="1:4" x14ac:dyDescent="0.25">
      <c r="A25" s="21" t="s">
        <v>16</v>
      </c>
      <c r="B25" s="18">
        <f>78.8*(100-C$2)/100</f>
        <v>86.68</v>
      </c>
      <c r="C25" s="17"/>
      <c r="D25" s="17"/>
    </row>
    <row r="26" spans="1:4" x14ac:dyDescent="0.25">
      <c r="A26" s="21" t="s">
        <v>222</v>
      </c>
      <c r="B26" s="18">
        <f>118*(100-C$2)/100</f>
        <v>129.80000000000001</v>
      </c>
      <c r="C26" s="17"/>
      <c r="D26" s="17"/>
    </row>
    <row r="27" spans="1:4" x14ac:dyDescent="0.25">
      <c r="A27" s="21" t="s">
        <v>223</v>
      </c>
      <c r="B27" s="18">
        <f>157.6*(100-C$2)/100</f>
        <v>173.36</v>
      </c>
      <c r="C27" s="17"/>
      <c r="D27" s="17"/>
    </row>
    <row r="28" spans="1:4" x14ac:dyDescent="0.25">
      <c r="A28" s="21" t="s">
        <v>17</v>
      </c>
      <c r="B28" s="18">
        <f>197*(100-C$2)/100</f>
        <v>216.7</v>
      </c>
      <c r="C28" s="17"/>
      <c r="D28" s="17"/>
    </row>
    <row r="29" spans="1:4" x14ac:dyDescent="0.25">
      <c r="A29" s="21" t="s">
        <v>224</v>
      </c>
      <c r="B29" s="18">
        <f>295*(100-C$2)/100</f>
        <v>324.5</v>
      </c>
      <c r="C29" s="17"/>
      <c r="D29" s="17"/>
    </row>
    <row r="30" spans="1:4" x14ac:dyDescent="0.25">
      <c r="A30" s="21" t="s">
        <v>18</v>
      </c>
      <c r="B30" s="18">
        <f>394*(100-C$2)/100</f>
        <v>433.4</v>
      </c>
      <c r="C30" s="17"/>
      <c r="D30" s="17"/>
    </row>
    <row r="31" spans="1:4" x14ac:dyDescent="0.25">
      <c r="A31" s="21" t="s">
        <v>225</v>
      </c>
      <c r="B31" s="18">
        <f>493*(100-C$2)/100</f>
        <v>542.29999999999995</v>
      </c>
      <c r="C31" s="17"/>
      <c r="D31" s="17"/>
    </row>
    <row r="32" spans="1:4" x14ac:dyDescent="0.25">
      <c r="A32" s="21" t="s">
        <v>19</v>
      </c>
      <c r="B32" s="18">
        <f>591*(100-C$2)/100</f>
        <v>650.1</v>
      </c>
      <c r="C32" s="17"/>
      <c r="D32" s="17"/>
    </row>
    <row r="33" spans="1:5" ht="85.5" customHeight="1" x14ac:dyDescent="0.25">
      <c r="A33" s="117" t="s">
        <v>20</v>
      </c>
      <c r="B33" s="18">
        <f>59*(100-C$2)/100</f>
        <v>64.900000000000006</v>
      </c>
      <c r="C33" s="17"/>
      <c r="D33" s="17"/>
    </row>
    <row r="34" spans="1:5" ht="80.25" customHeight="1" x14ac:dyDescent="0.25">
      <c r="A34" s="21" t="s">
        <v>218</v>
      </c>
      <c r="B34" s="118">
        <f>32*(100-C$2)/100</f>
        <v>35.200000000000003</v>
      </c>
      <c r="C34" s="208"/>
      <c r="D34" s="208"/>
    </row>
    <row r="35" spans="1:5" ht="65.25" customHeight="1" x14ac:dyDescent="0.25">
      <c r="A35" s="22" t="s">
        <v>221</v>
      </c>
      <c r="B35" s="18">
        <f>114*(100-C$2)/100</f>
        <v>125.4</v>
      </c>
      <c r="C35" s="208"/>
      <c r="D35" s="208"/>
    </row>
    <row r="36" spans="1:5" ht="69.75" customHeight="1" x14ac:dyDescent="0.25">
      <c r="A36" s="22" t="s">
        <v>226</v>
      </c>
      <c r="B36" s="18">
        <f>54*(100-C$2)/100</f>
        <v>59.4</v>
      </c>
      <c r="C36" s="208"/>
      <c r="D36" s="208"/>
      <c r="E36" s="23"/>
    </row>
    <row r="37" spans="1:5" x14ac:dyDescent="0.25">
      <c r="A37" s="22" t="s">
        <v>270</v>
      </c>
      <c r="B37" s="18">
        <f>40*(100-C$2)/100</f>
        <v>44</v>
      </c>
      <c r="C37" s="209"/>
      <c r="D37" s="210"/>
      <c r="E37" s="24"/>
    </row>
    <row r="38" spans="1:5" x14ac:dyDescent="0.25">
      <c r="A38" s="22" t="s">
        <v>271</v>
      </c>
      <c r="B38" s="18">
        <f>57*(100-C$2)/100</f>
        <v>62.7</v>
      </c>
      <c r="C38" s="211"/>
      <c r="D38" s="212"/>
      <c r="E38" s="24"/>
    </row>
    <row r="39" spans="1:5" x14ac:dyDescent="0.25">
      <c r="A39" s="22" t="s">
        <v>272</v>
      </c>
      <c r="B39" s="18">
        <f>74*(100-C$2)/100</f>
        <v>81.400000000000006</v>
      </c>
      <c r="C39" s="211"/>
      <c r="D39" s="212"/>
      <c r="E39" s="24"/>
    </row>
    <row r="40" spans="1:5" x14ac:dyDescent="0.25">
      <c r="A40" s="22" t="s">
        <v>273</v>
      </c>
      <c r="B40" s="18">
        <f>93*(100-C$2)/100</f>
        <v>102.3</v>
      </c>
      <c r="C40" s="211"/>
      <c r="D40" s="212"/>
      <c r="E40" s="24"/>
    </row>
    <row r="41" spans="1:5" x14ac:dyDescent="0.25">
      <c r="A41" s="22" t="s">
        <v>274</v>
      </c>
      <c r="B41" s="18">
        <f>120*(100-C$2)/100</f>
        <v>132</v>
      </c>
      <c r="C41" s="213"/>
      <c r="D41" s="214"/>
      <c r="E41" s="24"/>
    </row>
    <row r="42" spans="1:5" x14ac:dyDescent="0.25">
      <c r="A42" s="20"/>
      <c r="B42" s="19"/>
    </row>
  </sheetData>
  <sheetProtection algorithmName="SHA-512" hashValue="kESmzYAr1q0Sp4nywAf0u3FPGBu3QaCy8CduCkCpu8RneDdldzQcr/B1K0b4/7EDrpmmYGCk9NEkelHDVPgv/A==" saltValue="tH/TcdyHOdwUWramxZIsXw==" spinCount="100000" sheet="1" objects="1" scenarios="1"/>
  <mergeCells count="10">
    <mergeCell ref="C35:D35"/>
    <mergeCell ref="C36:D36"/>
    <mergeCell ref="C37:D41"/>
    <mergeCell ref="A1:B1"/>
    <mergeCell ref="C1:D1"/>
    <mergeCell ref="E3:F3"/>
    <mergeCell ref="B4:D4"/>
    <mergeCell ref="A3:D3"/>
    <mergeCell ref="E1:G2"/>
    <mergeCell ref="C34:D34"/>
  </mergeCells>
  <hyperlinks>
    <hyperlink ref="E4" location="ГЛАВНАЯ!A1" display="оглавление&gt;&gt;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"/>
  <sheetViews>
    <sheetView zoomScale="115" zoomScaleNormal="115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B4" sqref="B4:D4"/>
    </sheetView>
  </sheetViews>
  <sheetFormatPr defaultRowHeight="15" x14ac:dyDescent="0.25"/>
  <cols>
    <col min="1" max="1" width="33.5703125" customWidth="1"/>
    <col min="2" max="2" width="23.42578125" style="6" customWidth="1"/>
    <col min="4" max="4" width="10.85546875" customWidth="1"/>
  </cols>
  <sheetData>
    <row r="1" spans="1:5" ht="58.5" customHeight="1" x14ac:dyDescent="0.35">
      <c r="A1" s="174"/>
      <c r="B1" s="174"/>
      <c r="C1" s="157" t="s">
        <v>84</v>
      </c>
      <c r="D1" s="157"/>
      <c r="E1" s="24"/>
    </row>
    <row r="2" spans="1:5" ht="15" customHeight="1" x14ac:dyDescent="0.45">
      <c r="A2" s="104"/>
      <c r="B2" s="110"/>
      <c r="C2" s="86">
        <f>5+ГЛАВНАЯ!E12</f>
        <v>-10</v>
      </c>
      <c r="D2" s="86"/>
      <c r="E2" s="24"/>
    </row>
    <row r="3" spans="1:5" ht="24.95" customHeight="1" x14ac:dyDescent="0.25">
      <c r="A3" s="163" t="s">
        <v>1029</v>
      </c>
      <c r="B3" s="163"/>
      <c r="C3" s="163"/>
      <c r="D3" s="163"/>
    </row>
    <row r="4" spans="1:5" ht="20.100000000000001" customHeight="1" x14ac:dyDescent="0.25">
      <c r="A4" s="85" t="s">
        <v>26</v>
      </c>
      <c r="B4" s="167" t="s">
        <v>99</v>
      </c>
      <c r="C4" s="168"/>
      <c r="D4" s="169"/>
      <c r="E4" s="30" t="s">
        <v>1018</v>
      </c>
    </row>
    <row r="5" spans="1:5" ht="20.100000000000001" customHeight="1" x14ac:dyDescent="0.25">
      <c r="A5" s="221" t="s">
        <v>236</v>
      </c>
      <c r="B5" s="222"/>
      <c r="C5" s="222"/>
      <c r="D5" s="223"/>
    </row>
    <row r="6" spans="1:5" x14ac:dyDescent="0.25">
      <c r="A6" s="27" t="s">
        <v>237</v>
      </c>
      <c r="B6" s="10">
        <f>1.95*(100-C$2)/100</f>
        <v>2.145</v>
      </c>
      <c r="C6" s="224"/>
      <c r="D6" s="225"/>
    </row>
    <row r="7" spans="1:5" ht="20.100000000000001" customHeight="1" x14ac:dyDescent="0.25">
      <c r="A7" s="221" t="s">
        <v>238</v>
      </c>
      <c r="B7" s="222"/>
      <c r="C7" s="222"/>
      <c r="D7" s="223"/>
    </row>
    <row r="8" spans="1:5" x14ac:dyDescent="0.25">
      <c r="A8" s="111" t="s">
        <v>239</v>
      </c>
      <c r="B8" s="10">
        <f>0.86*(100-C$2)/100</f>
        <v>0.94599999999999995</v>
      </c>
      <c r="C8" s="215"/>
      <c r="D8" s="216"/>
    </row>
    <row r="9" spans="1:5" x14ac:dyDescent="0.25">
      <c r="A9" s="111" t="s">
        <v>240</v>
      </c>
      <c r="B9" s="10">
        <f>1.78*(100-C$2)/100</f>
        <v>1.9580000000000002</v>
      </c>
      <c r="C9" s="217"/>
      <c r="D9" s="218"/>
    </row>
    <row r="10" spans="1:5" x14ac:dyDescent="0.25">
      <c r="A10" s="111" t="s">
        <v>241</v>
      </c>
      <c r="B10" s="10">
        <f>2.6*(100-C$2)/100</f>
        <v>2.86</v>
      </c>
      <c r="C10" s="217"/>
      <c r="D10" s="218"/>
    </row>
    <row r="11" spans="1:5" x14ac:dyDescent="0.25">
      <c r="A11" s="111" t="s">
        <v>242</v>
      </c>
      <c r="B11" s="10">
        <f>2.64*(100-C$2)/100</f>
        <v>2.9040000000000004</v>
      </c>
      <c r="C11" s="219"/>
      <c r="D11" s="220"/>
    </row>
    <row r="12" spans="1:5" ht="20.100000000000001" customHeight="1" x14ac:dyDescent="0.25">
      <c r="A12" s="221" t="s">
        <v>243</v>
      </c>
      <c r="B12" s="222"/>
      <c r="C12" s="222"/>
      <c r="D12" s="223"/>
    </row>
    <row r="13" spans="1:5" x14ac:dyDescent="0.25">
      <c r="A13" s="27" t="s">
        <v>244</v>
      </c>
      <c r="B13" s="10">
        <f>0.45*(100-C$2)/100</f>
        <v>0.495</v>
      </c>
      <c r="C13" s="215"/>
      <c r="D13" s="216"/>
    </row>
    <row r="14" spans="1:5" x14ac:dyDescent="0.25">
      <c r="A14" s="27" t="s">
        <v>250</v>
      </c>
      <c r="B14" s="28">
        <f>1.34*(100-C$2)/100</f>
        <v>1.474</v>
      </c>
      <c r="C14" s="217"/>
      <c r="D14" s="218"/>
    </row>
    <row r="15" spans="1:5" x14ac:dyDescent="0.25">
      <c r="A15" s="27" t="s">
        <v>245</v>
      </c>
      <c r="B15" s="10">
        <f>0.85*(100-C$2)/100</f>
        <v>0.93500000000000005</v>
      </c>
      <c r="C15" s="217"/>
      <c r="D15" s="218"/>
    </row>
    <row r="16" spans="1:5" x14ac:dyDescent="0.25">
      <c r="A16" s="27" t="s">
        <v>246</v>
      </c>
      <c r="B16" s="10">
        <f>2.1*(100-C$2)/100</f>
        <v>2.31</v>
      </c>
      <c r="C16" s="219"/>
      <c r="D16" s="220"/>
    </row>
    <row r="17" spans="1:4" ht="20.100000000000001" customHeight="1" x14ac:dyDescent="0.25">
      <c r="A17" s="221" t="s">
        <v>247</v>
      </c>
      <c r="B17" s="222"/>
      <c r="C17" s="222"/>
      <c r="D17" s="223"/>
    </row>
    <row r="18" spans="1:4" x14ac:dyDescent="0.25">
      <c r="A18" s="27" t="s">
        <v>248</v>
      </c>
      <c r="B18" s="10">
        <f>0.32*(100-C$2)/100</f>
        <v>0.35200000000000004</v>
      </c>
      <c r="C18" s="215"/>
      <c r="D18" s="216"/>
    </row>
    <row r="19" spans="1:4" x14ac:dyDescent="0.25">
      <c r="A19" s="27" t="s">
        <v>984</v>
      </c>
      <c r="B19" s="10">
        <v>0.98</v>
      </c>
      <c r="C19" s="217"/>
      <c r="D19" s="218"/>
    </row>
    <row r="20" spans="1:4" x14ac:dyDescent="0.25">
      <c r="A20" s="27" t="s">
        <v>249</v>
      </c>
      <c r="B20" s="10">
        <f>0.51*(100-C$2)/100</f>
        <v>0.56100000000000005</v>
      </c>
      <c r="C20" s="217"/>
      <c r="D20" s="218"/>
    </row>
    <row r="21" spans="1:4" x14ac:dyDescent="0.25">
      <c r="A21" s="27" t="s">
        <v>982</v>
      </c>
      <c r="B21" s="10">
        <f>1.28*(100-C$2)/100</f>
        <v>1.4080000000000001</v>
      </c>
      <c r="C21" s="217"/>
      <c r="D21" s="218"/>
    </row>
    <row r="22" spans="1:4" x14ac:dyDescent="0.25">
      <c r="A22" s="27" t="s">
        <v>251</v>
      </c>
      <c r="B22" s="10">
        <f>0.94*(100-C$2)/100</f>
        <v>1.0339999999999998</v>
      </c>
      <c r="C22" s="217"/>
      <c r="D22" s="218"/>
    </row>
    <row r="23" spans="1:4" x14ac:dyDescent="0.25">
      <c r="A23" s="27" t="s">
        <v>983</v>
      </c>
      <c r="B23" s="10">
        <f>2.78*(100-C$2)/100</f>
        <v>3.0579999999999994</v>
      </c>
      <c r="C23" s="219"/>
      <c r="D23" s="220"/>
    </row>
    <row r="24" spans="1:4" ht="20.100000000000001" customHeight="1" x14ac:dyDescent="0.25">
      <c r="A24" s="221" t="s">
        <v>258</v>
      </c>
      <c r="B24" s="222"/>
      <c r="C24" s="222"/>
      <c r="D24" s="223"/>
    </row>
    <row r="25" spans="1:4" x14ac:dyDescent="0.25">
      <c r="A25" s="27" t="s">
        <v>259</v>
      </c>
      <c r="B25" s="10">
        <f>2.23*(100-C$2)/100</f>
        <v>2.4530000000000003</v>
      </c>
      <c r="C25" s="215"/>
      <c r="D25" s="216"/>
    </row>
    <row r="26" spans="1:4" x14ac:dyDescent="0.25">
      <c r="A26" s="27" t="s">
        <v>260</v>
      </c>
      <c r="B26" s="10">
        <f>12*(100-C$2)/100</f>
        <v>13.2</v>
      </c>
      <c r="C26" s="217"/>
      <c r="D26" s="218"/>
    </row>
    <row r="27" spans="1:4" x14ac:dyDescent="0.25">
      <c r="A27" s="27" t="s">
        <v>261</v>
      </c>
      <c r="B27" s="10">
        <f>2.5*(100-C$2)/100</f>
        <v>2.75</v>
      </c>
      <c r="C27" s="217"/>
      <c r="D27" s="218"/>
    </row>
    <row r="28" spans="1:4" x14ac:dyDescent="0.25">
      <c r="A28" s="27" t="s">
        <v>262</v>
      </c>
      <c r="B28" s="10">
        <f>16*(100-C$2)/100</f>
        <v>17.600000000000001</v>
      </c>
      <c r="C28" s="217"/>
      <c r="D28" s="218"/>
    </row>
    <row r="29" spans="1:4" x14ac:dyDescent="0.25">
      <c r="A29" s="27" t="s">
        <v>263</v>
      </c>
      <c r="B29" s="10">
        <f>4*(100-C$2)/100</f>
        <v>4.4000000000000004</v>
      </c>
      <c r="C29" s="217"/>
      <c r="D29" s="218"/>
    </row>
    <row r="30" spans="1:4" x14ac:dyDescent="0.25">
      <c r="A30" s="27" t="s">
        <v>264</v>
      </c>
      <c r="B30" s="10">
        <f>21*(100-C$2)/100</f>
        <v>23.1</v>
      </c>
      <c r="C30" s="219"/>
      <c r="D30" s="220"/>
    </row>
    <row r="31" spans="1:4" ht="20.100000000000001" customHeight="1" x14ac:dyDescent="0.25">
      <c r="A31" s="221" t="s">
        <v>227</v>
      </c>
      <c r="B31" s="222"/>
      <c r="C31" s="222"/>
      <c r="D31" s="223"/>
    </row>
    <row r="32" spans="1:4" x14ac:dyDescent="0.25">
      <c r="A32" s="27" t="s">
        <v>228</v>
      </c>
      <c r="B32" s="10">
        <f>25*(100-C$2)/100</f>
        <v>27.5</v>
      </c>
      <c r="C32" s="215"/>
      <c r="D32" s="216"/>
    </row>
    <row r="33" spans="1:4" x14ac:dyDescent="0.25">
      <c r="A33" s="27" t="s">
        <v>229</v>
      </c>
      <c r="B33" s="10">
        <f>49*(100-C$2)/100</f>
        <v>53.9</v>
      </c>
      <c r="C33" s="217"/>
      <c r="D33" s="218"/>
    </row>
    <row r="34" spans="1:4" x14ac:dyDescent="0.25">
      <c r="A34" s="27" t="s">
        <v>230</v>
      </c>
      <c r="B34" s="10">
        <f>36*(100-C$2)/100</f>
        <v>39.6</v>
      </c>
      <c r="C34" s="217"/>
      <c r="D34" s="218"/>
    </row>
    <row r="35" spans="1:4" x14ac:dyDescent="0.25">
      <c r="A35" s="27" t="s">
        <v>231</v>
      </c>
      <c r="B35" s="10">
        <f>71*(100-C$2)/100</f>
        <v>78.099999999999994</v>
      </c>
      <c r="C35" s="217"/>
      <c r="D35" s="218"/>
    </row>
    <row r="36" spans="1:4" x14ac:dyDescent="0.25">
      <c r="A36" s="27" t="s">
        <v>232</v>
      </c>
      <c r="B36" s="10">
        <f>57*(100-C$2)/100</f>
        <v>62.7</v>
      </c>
      <c r="C36" s="217"/>
      <c r="D36" s="218"/>
    </row>
    <row r="37" spans="1:4" x14ac:dyDescent="0.25">
      <c r="A37" s="27" t="s">
        <v>233</v>
      </c>
      <c r="B37" s="10">
        <f>112*(100-C$2)/100</f>
        <v>123.2</v>
      </c>
      <c r="C37" s="217"/>
      <c r="D37" s="218"/>
    </row>
    <row r="38" spans="1:4" x14ac:dyDescent="0.25">
      <c r="A38" s="27" t="s">
        <v>234</v>
      </c>
      <c r="B38" s="10">
        <f>92*(100-C$2)/100</f>
        <v>101.2</v>
      </c>
      <c r="C38" s="217"/>
      <c r="D38" s="218"/>
    </row>
    <row r="39" spans="1:4" x14ac:dyDescent="0.25">
      <c r="A39" s="27" t="s">
        <v>235</v>
      </c>
      <c r="B39" s="10">
        <f>178*(100-C$2)/100</f>
        <v>195.8</v>
      </c>
      <c r="C39" s="219"/>
      <c r="D39" s="220"/>
    </row>
    <row r="40" spans="1:4" ht="20.100000000000001" customHeight="1" x14ac:dyDescent="0.25">
      <c r="A40" s="221" t="s">
        <v>265</v>
      </c>
      <c r="B40" s="222"/>
      <c r="C40" s="222"/>
      <c r="D40" s="223"/>
    </row>
    <row r="41" spans="1:4" x14ac:dyDescent="0.25">
      <c r="A41" s="27" t="s">
        <v>267</v>
      </c>
      <c r="B41" s="10">
        <f>4.61*(100-C$2)/100</f>
        <v>5.0710000000000006</v>
      </c>
      <c r="C41" s="215"/>
      <c r="D41" s="216"/>
    </row>
    <row r="42" spans="1:4" x14ac:dyDescent="0.25">
      <c r="A42" s="27" t="s">
        <v>266</v>
      </c>
      <c r="B42" s="10">
        <f>7.01*(100-C$2)/100</f>
        <v>7.7110000000000003</v>
      </c>
      <c r="C42" s="217"/>
      <c r="D42" s="218"/>
    </row>
    <row r="43" spans="1:4" x14ac:dyDescent="0.25">
      <c r="A43" s="27" t="s">
        <v>268</v>
      </c>
      <c r="B43" s="10">
        <f>13.01*(100-C$2)/100</f>
        <v>14.311</v>
      </c>
      <c r="C43" s="217"/>
      <c r="D43" s="218"/>
    </row>
    <row r="44" spans="1:4" x14ac:dyDescent="0.25">
      <c r="A44" s="27" t="s">
        <v>269</v>
      </c>
      <c r="B44" s="10">
        <f>20.7*(100-C$2)/100</f>
        <v>22.77</v>
      </c>
      <c r="C44" s="219"/>
      <c r="D44" s="220"/>
    </row>
    <row r="45" spans="1:4" ht="20.100000000000001" customHeight="1" x14ac:dyDescent="0.25">
      <c r="A45" s="221" t="s">
        <v>252</v>
      </c>
      <c r="B45" s="222"/>
      <c r="C45" s="222"/>
      <c r="D45" s="223"/>
    </row>
    <row r="46" spans="1:4" ht="19.5" customHeight="1" x14ac:dyDescent="0.25">
      <c r="A46" s="112" t="s">
        <v>253</v>
      </c>
      <c r="B46" s="113">
        <f>56.61*(100-C$2)/100</f>
        <v>62.271000000000001</v>
      </c>
      <c r="C46" s="215"/>
      <c r="D46" s="216"/>
    </row>
    <row r="47" spans="1:4" ht="21" customHeight="1" x14ac:dyDescent="0.25">
      <c r="A47" s="112" t="s">
        <v>254</v>
      </c>
      <c r="B47" s="113">
        <f>79.53*(100-C$2)/100</f>
        <v>87.48299999999999</v>
      </c>
      <c r="C47" s="219"/>
      <c r="D47" s="220"/>
    </row>
    <row r="48" spans="1:4" ht="20.100000000000001" customHeight="1" x14ac:dyDescent="0.25">
      <c r="A48" s="221" t="s">
        <v>257</v>
      </c>
      <c r="B48" s="222"/>
      <c r="C48" s="222"/>
      <c r="D48" s="223"/>
    </row>
    <row r="49" spans="1:4" ht="23.25" customHeight="1" x14ac:dyDescent="0.25">
      <c r="A49" s="114" t="s">
        <v>255</v>
      </c>
      <c r="B49" s="96">
        <f>29.92*(100-C$2)/100</f>
        <v>32.912000000000006</v>
      </c>
      <c r="C49" s="215"/>
      <c r="D49" s="216"/>
    </row>
    <row r="50" spans="1:4" ht="24" customHeight="1" x14ac:dyDescent="0.25">
      <c r="A50" s="114" t="s">
        <v>256</v>
      </c>
      <c r="B50" s="96">
        <f>30.6*(100-C$2)/100</f>
        <v>33.659999999999997</v>
      </c>
      <c r="C50" s="219"/>
      <c r="D50" s="220"/>
    </row>
  </sheetData>
  <sheetProtection algorithmName="SHA-512" hashValue="/Wo7nUNClcOruDPzum1M///AmcnuewuhXYZfOY4Ighg5pdtzEJ+x5n0cYeekvQ4f9aCYCTRS9Ut4sHpdfRWyRw==" saltValue="ayS+/c6ZxS0bJdOVIBiu0g==" spinCount="100000" sheet="1" objects="1" scenarios="1"/>
  <mergeCells count="22">
    <mergeCell ref="C46:D47"/>
    <mergeCell ref="C41:D44"/>
    <mergeCell ref="C49:D50"/>
    <mergeCell ref="A3:D3"/>
    <mergeCell ref="B4:D4"/>
    <mergeCell ref="A5:D5"/>
    <mergeCell ref="A7:D7"/>
    <mergeCell ref="A12:D12"/>
    <mergeCell ref="A17:D17"/>
    <mergeCell ref="A24:D24"/>
    <mergeCell ref="A31:D31"/>
    <mergeCell ref="A40:D40"/>
    <mergeCell ref="A45:D45"/>
    <mergeCell ref="A48:D48"/>
    <mergeCell ref="C6:D6"/>
    <mergeCell ref="C8:D11"/>
    <mergeCell ref="C13:D16"/>
    <mergeCell ref="C18:D23"/>
    <mergeCell ref="C25:D30"/>
    <mergeCell ref="C32:D39"/>
    <mergeCell ref="A1:B1"/>
    <mergeCell ref="C1:D1"/>
  </mergeCells>
  <hyperlinks>
    <hyperlink ref="E4" location="ГЛАВНАЯ!A1" display="оглавление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zoomScale="115" zoomScaleNormal="115" workbookViewId="0">
      <pane xSplit="8" ySplit="5" topLeftCell="I6" activePane="bottomRight" state="frozen"/>
      <selection pane="topRight" activeCell="H1" sqref="H1"/>
      <selection pane="bottomLeft" activeCell="A3" sqref="A3"/>
      <selection pane="bottomRight" activeCell="B4" sqref="B4:H4"/>
    </sheetView>
  </sheetViews>
  <sheetFormatPr defaultRowHeight="15" x14ac:dyDescent="0.25"/>
  <cols>
    <col min="1" max="1" width="38.140625" style="61" customWidth="1"/>
    <col min="2" max="2" width="11.7109375" style="61" customWidth="1"/>
    <col min="3" max="3" width="11" style="61" customWidth="1"/>
    <col min="4" max="4" width="11.140625" style="61" customWidth="1"/>
    <col min="5" max="5" width="12.140625" style="61" customWidth="1"/>
    <col min="6" max="6" width="11" style="61" customWidth="1"/>
    <col min="7" max="7" width="10.85546875" style="61" customWidth="1"/>
    <col min="8" max="8" width="11.140625" style="61" customWidth="1"/>
    <col min="9" max="10" width="9.140625" style="61"/>
    <col min="11" max="11" width="5.28515625" style="61" customWidth="1"/>
    <col min="12" max="12" width="8.7109375" style="61" customWidth="1"/>
    <col min="13" max="16384" width="9.140625" style="61"/>
  </cols>
  <sheetData>
    <row r="1" spans="1:13" ht="65.25" customHeight="1" x14ac:dyDescent="0.35">
      <c r="A1" s="70"/>
      <c r="B1" s="71"/>
      <c r="C1" s="72" t="s">
        <v>84</v>
      </c>
      <c r="D1" s="75"/>
      <c r="E1" s="75"/>
      <c r="F1" s="140" t="s">
        <v>1019</v>
      </c>
      <c r="G1" s="140"/>
      <c r="H1" s="140"/>
      <c r="I1" s="60"/>
      <c r="J1" s="60"/>
      <c r="K1" s="60"/>
      <c r="L1" s="60"/>
    </row>
    <row r="2" spans="1:13" ht="8.25" customHeight="1" x14ac:dyDescent="0.4">
      <c r="A2" s="77"/>
      <c r="B2" s="77"/>
      <c r="C2" s="74">
        <f>ГЛАВНАЯ!E12</f>
        <v>-15</v>
      </c>
      <c r="D2" s="76"/>
      <c r="E2" s="75"/>
      <c r="F2" s="73"/>
      <c r="G2" s="73"/>
      <c r="H2" s="73"/>
      <c r="I2" s="60"/>
      <c r="J2" s="60"/>
      <c r="K2" s="60"/>
      <c r="L2" s="60"/>
    </row>
    <row r="3" spans="1:13" ht="24.95" customHeight="1" x14ac:dyDescent="0.25">
      <c r="A3" s="78" t="s">
        <v>1029</v>
      </c>
      <c r="B3" s="141" t="s">
        <v>99</v>
      </c>
      <c r="C3" s="141"/>
      <c r="D3" s="141"/>
      <c r="E3" s="141"/>
      <c r="F3" s="141"/>
      <c r="G3" s="141"/>
      <c r="H3" s="141"/>
      <c r="I3" s="60"/>
      <c r="J3" s="60"/>
      <c r="K3" s="60"/>
      <c r="L3" s="60"/>
    </row>
    <row r="4" spans="1:13" ht="20.100000000000001" customHeight="1" x14ac:dyDescent="0.25">
      <c r="A4" s="80" t="s">
        <v>26</v>
      </c>
      <c r="B4" s="152" t="s">
        <v>115</v>
      </c>
      <c r="C4" s="152"/>
      <c r="D4" s="152"/>
      <c r="E4" s="152"/>
      <c r="F4" s="152"/>
      <c r="G4" s="152"/>
      <c r="H4" s="152"/>
      <c r="I4" s="62"/>
    </row>
    <row r="5" spans="1:13" ht="20.100000000000001" customHeight="1" x14ac:dyDescent="0.25">
      <c r="A5" s="80" t="s">
        <v>35</v>
      </c>
      <c r="B5" s="81">
        <v>0.55000000000000004</v>
      </c>
      <c r="C5" s="81">
        <v>0.7</v>
      </c>
      <c r="D5" s="81">
        <v>0.8</v>
      </c>
      <c r="E5" s="81">
        <v>1</v>
      </c>
      <c r="F5" s="81">
        <v>1.2</v>
      </c>
      <c r="G5" s="81">
        <v>1.5</v>
      </c>
      <c r="H5" s="81">
        <v>2</v>
      </c>
      <c r="I5" s="63" t="s">
        <v>1018</v>
      </c>
      <c r="K5" s="64"/>
    </row>
    <row r="6" spans="1:13" x14ac:dyDescent="0.25">
      <c r="A6" s="65" t="s">
        <v>127</v>
      </c>
      <c r="B6" s="79">
        <f>65.36*(100-C$2)/100</f>
        <v>75.164000000000001</v>
      </c>
      <c r="C6" s="79">
        <f>77.18*(100-C$2)/100</f>
        <v>88.757000000000005</v>
      </c>
      <c r="D6" s="79">
        <f>93.25*(100-C$2)/100</f>
        <v>107.2375</v>
      </c>
      <c r="E6" s="79">
        <f>105.34*(100-C$2)/100</f>
        <v>121.14100000000001</v>
      </c>
      <c r="F6" s="79">
        <f>123*(100-C$2)/100</f>
        <v>141.44999999999999</v>
      </c>
      <c r="G6" s="79">
        <f>156.76*(100-C$2)/100</f>
        <v>180.27399999999997</v>
      </c>
      <c r="H6" s="79">
        <f>216.74*(100-C$2)/100</f>
        <v>249.25100000000003</v>
      </c>
    </row>
    <row r="7" spans="1:13" x14ac:dyDescent="0.25">
      <c r="A7" s="65" t="s">
        <v>36</v>
      </c>
      <c r="B7" s="79">
        <f>81.3*(100-C$2)/100</f>
        <v>93.495000000000005</v>
      </c>
      <c r="C7" s="79">
        <f>96.07*(100-C$2)/100</f>
        <v>110.48049999999999</v>
      </c>
      <c r="D7" s="79">
        <f>116.46*(100-C$2)/100</f>
        <v>133.929</v>
      </c>
      <c r="E7" s="79">
        <f>131.02*(100-C$2)/100</f>
        <v>150.673</v>
      </c>
      <c r="F7" s="79">
        <f>153.18*(100-C$2)/100</f>
        <v>176.15700000000001</v>
      </c>
      <c r="G7" s="79">
        <f>194.97*(100-C$2)/100</f>
        <v>224.21549999999999</v>
      </c>
      <c r="H7" s="79">
        <f>569.6*(100-C$2)/100</f>
        <v>655.04</v>
      </c>
    </row>
    <row r="8" spans="1:13" x14ac:dyDescent="0.25">
      <c r="A8" s="65" t="s">
        <v>117</v>
      </c>
      <c r="B8" s="79">
        <f>91.59*(100-C$2)/100</f>
        <v>105.32850000000001</v>
      </c>
      <c r="C8" s="79">
        <f>108.55*(100-C$2)/100</f>
        <v>124.8325</v>
      </c>
      <c r="D8" s="79">
        <f>131.16*(100-C$2)/100</f>
        <v>150.834</v>
      </c>
      <c r="E8" s="79">
        <f>148.15*(100-C$2)/100</f>
        <v>170.3725</v>
      </c>
      <c r="F8" s="79">
        <f>173*(100-C$2)/100</f>
        <v>198.95</v>
      </c>
      <c r="G8" s="79">
        <f>220.5*(100-C$2)/100</f>
        <v>253.57499999999999</v>
      </c>
      <c r="H8" s="79">
        <f>304.84*(100-C$2)/100</f>
        <v>350.56599999999997</v>
      </c>
    </row>
    <row r="9" spans="1:13" x14ac:dyDescent="0.25">
      <c r="A9" s="66" t="s">
        <v>37</v>
      </c>
      <c r="B9" s="79">
        <f>75.99*(100-C$2)/100</f>
        <v>87.388499999999979</v>
      </c>
      <c r="C9" s="79">
        <f>89.8*(100-C$2)/100</f>
        <v>103.27</v>
      </c>
      <c r="D9" s="79">
        <f>108.87*(100-C$2)/100</f>
        <v>125.20050000000001</v>
      </c>
      <c r="E9" s="79">
        <f>122.46*(100-C$2)/100</f>
        <v>140.82900000000001</v>
      </c>
      <c r="F9" s="79">
        <f>143*(100-C$2)/100</f>
        <v>164.45</v>
      </c>
      <c r="G9" s="79">
        <f>184.96*(100-C$2)/100</f>
        <v>212.70400000000001</v>
      </c>
      <c r="H9" s="79">
        <f>251.98*(100-C$2)/100</f>
        <v>289.77699999999999</v>
      </c>
    </row>
    <row r="10" spans="1:13" x14ac:dyDescent="0.25">
      <c r="A10" s="65" t="s">
        <v>38</v>
      </c>
      <c r="B10" s="79">
        <f>107.87*(100-C$2)/100</f>
        <v>124.05050000000001</v>
      </c>
      <c r="C10" s="79">
        <f>127.7*(100-C$2)/100</f>
        <v>146.85499999999999</v>
      </c>
      <c r="D10" s="79">
        <f>154.54*(100-C$2)/100</f>
        <v>177.72099999999998</v>
      </c>
      <c r="E10" s="79">
        <f>173.85*(100-C$2)/100</f>
        <v>199.92750000000001</v>
      </c>
      <c r="F10" s="79">
        <f>203*(100-C$2)/100</f>
        <v>233.45</v>
      </c>
      <c r="G10" s="79">
        <f>258.68*(100-C$2)/100</f>
        <v>297.48200000000003</v>
      </c>
      <c r="H10" s="79">
        <f>357.7*(100-C$2)/100</f>
        <v>411.35500000000002</v>
      </c>
    </row>
    <row r="11" spans="1:13" x14ac:dyDescent="0.25">
      <c r="A11" s="65" t="s">
        <v>116</v>
      </c>
      <c r="B11" s="79">
        <f>118.5*(100-C$2)/100</f>
        <v>136.27500000000001</v>
      </c>
      <c r="C11" s="79">
        <f>140.61*(100-C$2)/100</f>
        <v>161.70150000000001</v>
      </c>
      <c r="D11" s="79">
        <f>170.27*(100-C$2)/100</f>
        <v>195.81050000000002</v>
      </c>
      <c r="E11" s="79">
        <f>190.99*(100-C$2)/100</f>
        <v>219.63850000000002</v>
      </c>
      <c r="F11" s="79">
        <f>223*(100-C$2)/100</f>
        <v>256.45</v>
      </c>
      <c r="G11" s="79">
        <f>288.43*(100-C$2)/100</f>
        <v>331.69450000000006</v>
      </c>
      <c r="H11" s="79">
        <f>392.94*(100-C$2)/100</f>
        <v>451.88099999999997</v>
      </c>
    </row>
    <row r="12" spans="1:13" x14ac:dyDescent="0.25">
      <c r="A12" s="65" t="s">
        <v>122</v>
      </c>
      <c r="B12" s="79">
        <f t="shared" ref="B12" si="0">107.87*(100-C$2)/100</f>
        <v>124.05050000000001</v>
      </c>
      <c r="C12" s="79">
        <f>146.92*(100-C$2)/100</f>
        <v>168.958</v>
      </c>
      <c r="D12" s="79">
        <f>177.91*(100-C$2)/100</f>
        <v>204.59649999999999</v>
      </c>
      <c r="E12" s="79">
        <f>199.53*(100-C$2)/100</f>
        <v>229.45950000000002</v>
      </c>
      <c r="F12" s="79">
        <f>233*(100-C$2)/100</f>
        <v>267.95</v>
      </c>
      <c r="G12" s="79">
        <f>296.91*(100-C$2)/100</f>
        <v>341.44650000000001</v>
      </c>
      <c r="H12" s="79">
        <f>410.56*(100-C$2)/100</f>
        <v>472.14400000000001</v>
      </c>
      <c r="M12" s="67"/>
    </row>
    <row r="13" spans="1:13" x14ac:dyDescent="0.25">
      <c r="A13" s="65" t="s">
        <v>39</v>
      </c>
      <c r="B13" s="79">
        <f>139.75*(100-C$2)/100</f>
        <v>160.71250000000001</v>
      </c>
      <c r="C13" s="79">
        <f>165.16*(100-C$2)/100</f>
        <v>189.93399999999997</v>
      </c>
      <c r="D13" s="79">
        <f>200.21*(100-C$2)/100</f>
        <v>230.2415</v>
      </c>
      <c r="E13" s="79">
        <f>225.24*(100-C$2)/100</f>
        <v>259.02600000000001</v>
      </c>
      <c r="F13" s="79">
        <f>263*(100-C$2)/100</f>
        <v>302.45</v>
      </c>
      <c r="G13" s="79">
        <f>335.13*(100-C$2)/100</f>
        <v>385.39949999999999</v>
      </c>
      <c r="H13" s="79">
        <f>463.43*(100-C$2)/100</f>
        <v>532.94450000000006</v>
      </c>
    </row>
    <row r="14" spans="1:13" x14ac:dyDescent="0.25">
      <c r="A14" s="65" t="s">
        <v>40</v>
      </c>
      <c r="B14" s="79">
        <f>161*(100-C$2)/100</f>
        <v>185.15</v>
      </c>
      <c r="C14" s="79">
        <f>190.28*(100-C$2)/100</f>
        <v>218.822</v>
      </c>
      <c r="D14" s="79">
        <f>230.67*(100-C$2)/100</f>
        <v>265.27049999999997</v>
      </c>
      <c r="E14" s="79">
        <f>259.49*(100-C$2)/100</f>
        <v>298.4135</v>
      </c>
      <c r="F14" s="79">
        <f>303*(100-C$2)/100</f>
        <v>348.45</v>
      </c>
      <c r="G14" s="79">
        <f>386.11*(100-C$2)/100</f>
        <v>444.0265</v>
      </c>
      <c r="H14" s="79">
        <f>533.91*(100-C$2)/100</f>
        <v>613.99649999999997</v>
      </c>
    </row>
    <row r="15" spans="1:13" x14ac:dyDescent="0.25">
      <c r="A15" s="65" t="s">
        <v>41</v>
      </c>
      <c r="B15" s="79">
        <f>134.44*(100-C$2)/100</f>
        <v>154.60599999999999</v>
      </c>
      <c r="C15" s="79">
        <f>158.88*(100-C$2)/100</f>
        <v>182.71200000000002</v>
      </c>
      <c r="D15" s="79">
        <f>192.59*(100-C$2)/100</f>
        <v>221.47850000000003</v>
      </c>
      <c r="E15" s="79">
        <f>216.67*(100-C$2)/100</f>
        <v>249.1705</v>
      </c>
      <c r="F15" s="79">
        <f>253*(100-C$2)/100</f>
        <v>290.95</v>
      </c>
      <c r="G15" s="79">
        <f>327.23*(100-C$2)/100</f>
        <v>376.31450000000007</v>
      </c>
      <c r="H15" s="79">
        <f>45.91*(100-C$2)/100</f>
        <v>52.796499999999995</v>
      </c>
    </row>
    <row r="16" spans="1:13" ht="16.5" customHeight="1" x14ac:dyDescent="0.35">
      <c r="A16" s="65" t="s">
        <v>42</v>
      </c>
      <c r="B16" s="79">
        <f>166.32*(100-C$2)/100</f>
        <v>191.268</v>
      </c>
      <c r="C16" s="79">
        <f>196.55*(100-C$2)/100</f>
        <v>226.0325</v>
      </c>
      <c r="D16" s="79">
        <f>238.26*(100-C$2)/100</f>
        <v>273.99899999999997</v>
      </c>
      <c r="E16" s="79">
        <f>268.06*(100-C$2)/100</f>
        <v>308.26900000000001</v>
      </c>
      <c r="F16" s="79">
        <f>313*(100-C$2)/100</f>
        <v>359.95</v>
      </c>
      <c r="G16" s="79">
        <f>404.83*(100-C$2)/100</f>
        <v>465.55449999999996</v>
      </c>
      <c r="H16" s="79">
        <f>551.53*(100-C$2)/100</f>
        <v>634.2595</v>
      </c>
      <c r="K16" s="68"/>
      <c r="L16" s="68"/>
      <c r="M16" s="69"/>
    </row>
    <row r="17" spans="1:13" ht="15" customHeight="1" x14ac:dyDescent="0.35">
      <c r="A17" s="65" t="s">
        <v>43</v>
      </c>
      <c r="B17" s="79">
        <f>187.57*(100-C$2)/100</f>
        <v>215.7055</v>
      </c>
      <c r="C17" s="79">
        <f>221.67*(100-C$2)/100</f>
        <v>254.9205</v>
      </c>
      <c r="D17" s="79">
        <f>268.72*(100-C$2)/100</f>
        <v>309.02800000000002</v>
      </c>
      <c r="E17" s="79">
        <f>302.22*(100-C$2)/100</f>
        <v>347.55300000000005</v>
      </c>
      <c r="F17" s="79">
        <f>353*(100-C$2)/100</f>
        <v>405.95</v>
      </c>
      <c r="G17" s="79">
        <f>449.83*(100-C$2)/100</f>
        <v>517.30449999999996</v>
      </c>
      <c r="H17" s="79">
        <f>622.01*(100-C$2)/100</f>
        <v>715.31149999999991</v>
      </c>
      <c r="K17" s="68"/>
      <c r="L17" s="68"/>
      <c r="M17" s="142"/>
    </row>
    <row r="18" spans="1:13" ht="15" customHeight="1" x14ac:dyDescent="0.35">
      <c r="A18" s="65" t="s">
        <v>44</v>
      </c>
      <c r="B18" s="79">
        <f>240.7*(100-C$2)/100</f>
        <v>276.80500000000001</v>
      </c>
      <c r="C18" s="79">
        <f>284.48*(100-C$2)/100</f>
        <v>327.15199999999999</v>
      </c>
      <c r="D18" s="79">
        <f>344.85*(100-C$2)/100</f>
        <v>396.57749999999999</v>
      </c>
      <c r="E18" s="79">
        <f>378.96*(100-C$2)/100</f>
        <v>435.80399999999992</v>
      </c>
      <c r="F18" s="79">
        <f>453*(100-C$2)/100</f>
        <v>520.95000000000005</v>
      </c>
      <c r="G18" s="79">
        <f>577.26*(100-C$2)/100</f>
        <v>663.84899999999993</v>
      </c>
      <c r="H18" s="79">
        <f>798.22*(100-C$2)/100</f>
        <v>917.95299999999997</v>
      </c>
      <c r="K18" s="68"/>
      <c r="L18" s="68"/>
      <c r="M18" s="142"/>
    </row>
    <row r="19" spans="1:13" x14ac:dyDescent="0.25">
      <c r="A19" s="65" t="s">
        <v>45</v>
      </c>
      <c r="B19" s="79">
        <f>161*(100-C$2)/100</f>
        <v>185.15</v>
      </c>
      <c r="C19" s="79">
        <f>190.29*(100-C$2)/100</f>
        <v>218.83349999999999</v>
      </c>
      <c r="D19" s="79">
        <f>230.67*(100-C$2)/100</f>
        <v>265.27049999999997</v>
      </c>
      <c r="E19" s="79">
        <f>259.49*(100-C$2)/100</f>
        <v>298.4135</v>
      </c>
      <c r="F19" s="79">
        <f>303*(100-C$2)/100</f>
        <v>348.45</v>
      </c>
      <c r="G19" s="79">
        <f>386*(100-C$2)/100</f>
        <v>443.9</v>
      </c>
      <c r="H19" s="79">
        <f>533.91*(100-C$2)/100</f>
        <v>613.99649999999997</v>
      </c>
    </row>
    <row r="20" spans="1:13" x14ac:dyDescent="0.25">
      <c r="A20" s="65" t="s">
        <v>118</v>
      </c>
      <c r="B20" s="79">
        <f>171.63*(100-C$2)/100</f>
        <v>197.37450000000001</v>
      </c>
      <c r="C20" s="79">
        <f>202.85*(100-C$2)/100</f>
        <v>233.2775</v>
      </c>
      <c r="D20" s="79">
        <f>246.25*(100-C$2)/100</f>
        <v>283.1875</v>
      </c>
      <c r="E20" s="79">
        <f>276.61*(100-C$2)/100</f>
        <v>318.10149999999999</v>
      </c>
      <c r="F20" s="79">
        <f>323*(100-C$2)/100</f>
        <v>371.45</v>
      </c>
      <c r="G20" s="79">
        <f>411.59*(100-C$2)/100</f>
        <v>473.32849999999996</v>
      </c>
      <c r="H20" s="79">
        <f>569.15*(100-C$2)/100</f>
        <v>654.52250000000004</v>
      </c>
    </row>
    <row r="21" spans="1:13" x14ac:dyDescent="0.25">
      <c r="A21" s="65" t="s">
        <v>123</v>
      </c>
      <c r="B21" s="79">
        <f>176.95*(100-C$2)/100</f>
        <v>203.49250000000001</v>
      </c>
      <c r="C21" s="79">
        <f>211.95*(100-C$2)/100</f>
        <v>243.74250000000001</v>
      </c>
      <c r="D21" s="79">
        <f>257.3*(100-C$2)/100</f>
        <v>295.89499999999998</v>
      </c>
      <c r="E21" s="79">
        <f>285.18*(100-C$2)/100</f>
        <v>327.95700000000005</v>
      </c>
      <c r="F21" s="79">
        <f>333*(100-C$2)/100</f>
        <v>382.95</v>
      </c>
      <c r="G21" s="79">
        <v>424.33</v>
      </c>
      <c r="H21" s="79">
        <f>586.77*(100-C$2)/100</f>
        <v>674.78550000000007</v>
      </c>
    </row>
    <row r="22" spans="1:13" x14ac:dyDescent="0.25">
      <c r="A22" s="65" t="s">
        <v>46</v>
      </c>
      <c r="B22" s="79">
        <f>192.88*(100-C$2)/100</f>
        <v>221.81200000000001</v>
      </c>
      <c r="C22" s="79">
        <f>227.95*(100-C$2)/100</f>
        <v>262.14249999999998</v>
      </c>
      <c r="D22" s="79">
        <f>267.34*(100-C$2)/100</f>
        <v>307.44099999999997</v>
      </c>
      <c r="E22" s="79">
        <f>310.89*(100-C$2)/100</f>
        <v>357.52350000000001</v>
      </c>
      <c r="F22" s="79">
        <f>363*(100-C$2)/100</f>
        <v>417.45</v>
      </c>
      <c r="G22" s="79">
        <v>462.56</v>
      </c>
      <c r="H22" s="79">
        <f>639.63*(100-C$2)/100</f>
        <v>735.57449999999994</v>
      </c>
    </row>
    <row r="23" spans="1:13" x14ac:dyDescent="0.25">
      <c r="A23" s="65" t="s">
        <v>47</v>
      </c>
      <c r="B23" s="79">
        <f>214.14*(100-C$2)/100</f>
        <v>246.261</v>
      </c>
      <c r="C23" s="79">
        <f>253.07*(100-C$2)/100</f>
        <v>291.03050000000002</v>
      </c>
      <c r="D23" s="79">
        <f>306.8*(100-C$2)/100</f>
        <v>352.82</v>
      </c>
      <c r="E23" s="79">
        <f>345.14*(100-C$2)/100</f>
        <v>396.911</v>
      </c>
      <c r="F23" s="79">
        <f>403*(100-C$2)/100</f>
        <v>463.45</v>
      </c>
      <c r="G23" s="79">
        <f>513.53*(100-C$2)/100</f>
        <v>590.55949999999996</v>
      </c>
      <c r="H23" s="79">
        <f>710.12*(100-C$2)/100</f>
        <v>816.63800000000003</v>
      </c>
    </row>
    <row r="24" spans="1:13" x14ac:dyDescent="0.25">
      <c r="A24" s="65" t="s">
        <v>48</v>
      </c>
      <c r="B24" s="150"/>
      <c r="C24" s="79">
        <f>315.86*(100-C$2)/100</f>
        <v>363.23900000000003</v>
      </c>
      <c r="D24" s="79">
        <f>382.9*(100-C$2)/100</f>
        <v>440.33499999999998</v>
      </c>
      <c r="E24" s="79">
        <f>431.42*(100-C$2)/100</f>
        <v>496.13300000000004</v>
      </c>
      <c r="F24" s="79">
        <f>503*(100-C$2)/100</f>
        <v>578.45000000000005</v>
      </c>
      <c r="G24" s="79">
        <v>640.96</v>
      </c>
      <c r="H24" s="79">
        <f>886.33*(100-C$2)/100</f>
        <v>1019.2795000000001</v>
      </c>
    </row>
    <row r="25" spans="1:13" x14ac:dyDescent="0.25">
      <c r="A25" s="65" t="s">
        <v>49</v>
      </c>
      <c r="B25" s="151"/>
      <c r="C25" s="79">
        <f>378.67*(100-C$2)/100</f>
        <v>435.47050000000002</v>
      </c>
      <c r="D25" s="79">
        <f>459.03*(100-C$2)/100</f>
        <v>527.8845</v>
      </c>
      <c r="E25" s="79">
        <f>516.41*(100-C$2)/100</f>
        <v>593.87149999999997</v>
      </c>
      <c r="F25" s="79">
        <f>603*(100-C$2)/100</f>
        <v>693.45</v>
      </c>
      <c r="G25" s="79">
        <f>768.38*(100-C$2)/100</f>
        <v>883.63699999999994</v>
      </c>
      <c r="H25" s="79">
        <f>1062.63*(100-C$2)/100</f>
        <v>1222.0245000000002</v>
      </c>
    </row>
    <row r="26" spans="1:13" x14ac:dyDescent="0.25">
      <c r="A26" s="65" t="s">
        <v>50</v>
      </c>
      <c r="B26" s="151"/>
      <c r="C26" s="79">
        <f>221.67*(100-C$2)/100</f>
        <v>254.9205</v>
      </c>
      <c r="D26" s="79">
        <f>268.72*(100-C$2)/100</f>
        <v>309.02800000000002</v>
      </c>
      <c r="E26" s="79">
        <f>302.32*(100-C$2)/100</f>
        <v>347.66799999999995</v>
      </c>
      <c r="F26" s="79">
        <f>353*(100-C$2)/100</f>
        <v>405.95</v>
      </c>
      <c r="G26" s="79">
        <f>449.82*(100-C$2)/100</f>
        <v>517.29300000000001</v>
      </c>
      <c r="H26" s="79">
        <f>622.01*(100-C$2)/100</f>
        <v>715.31149999999991</v>
      </c>
    </row>
    <row r="27" spans="1:13" x14ac:dyDescent="0.25">
      <c r="A27" s="65" t="s">
        <v>51</v>
      </c>
      <c r="B27" s="151"/>
      <c r="C27" s="79">
        <f>259.36*(100-C$2)/100</f>
        <v>298.26400000000001</v>
      </c>
      <c r="D27" s="79">
        <f>314.39*(100-C$2)/100</f>
        <v>361.54849999999999</v>
      </c>
      <c r="E27" s="79">
        <f>352.88*(100-C$2)/100</f>
        <v>405.81199999999995</v>
      </c>
      <c r="F27" s="79">
        <f>413*(100-C$2)/100</f>
        <v>474.95</v>
      </c>
      <c r="G27" s="79">
        <f>526.27*(100-C$2)/100</f>
        <v>605.21049999999991</v>
      </c>
      <c r="H27" s="79">
        <f>727.74*(100-C$2)/100</f>
        <v>836.90100000000007</v>
      </c>
    </row>
    <row r="28" spans="1:13" x14ac:dyDescent="0.25">
      <c r="A28" s="65" t="s">
        <v>52</v>
      </c>
      <c r="B28" s="151"/>
      <c r="C28" s="79">
        <f>284.48*(100-C$2)/100</f>
        <v>327.15199999999999</v>
      </c>
      <c r="D28" s="79">
        <f>344.85*(100-C$2)/100</f>
        <v>396.57749999999999</v>
      </c>
      <c r="E28" s="79">
        <f>387.96*(100-C$2)/100</f>
        <v>446.15399999999994</v>
      </c>
      <c r="F28" s="79">
        <f>453*(100-C$2)/100</f>
        <v>520.95000000000005</v>
      </c>
      <c r="G28" s="79">
        <f>577.24*(100-C$2)/100</f>
        <v>663.82600000000002</v>
      </c>
      <c r="H28" s="79">
        <f>798.22*(100-C$2)/100</f>
        <v>917.95299999999997</v>
      </c>
    </row>
    <row r="29" spans="1:13" x14ac:dyDescent="0.25">
      <c r="A29" s="65" t="s">
        <v>72</v>
      </c>
      <c r="B29" s="151"/>
      <c r="C29" s="79">
        <f>253.07*(100-C$2)/100</f>
        <v>291.03050000000002</v>
      </c>
      <c r="D29" s="79">
        <f>306.8*(100-C$2)/100</f>
        <v>352.82</v>
      </c>
      <c r="E29" s="79">
        <f>345.14*(100-C$2)/100</f>
        <v>396.911</v>
      </c>
      <c r="F29" s="79">
        <f>403*(100-C$2)/100</f>
        <v>463.45</v>
      </c>
      <c r="G29" s="79">
        <f>513.53*(100-C$2)/100</f>
        <v>590.55949999999996</v>
      </c>
      <c r="H29" s="79">
        <f>710.12*(100-C$2)/100</f>
        <v>816.63800000000003</v>
      </c>
    </row>
    <row r="30" spans="1:13" x14ac:dyDescent="0.25">
      <c r="A30" s="65" t="s">
        <v>119</v>
      </c>
      <c r="B30" s="151"/>
      <c r="C30" s="79">
        <f>265.55*(100-C$2)/100</f>
        <v>305.38249999999999</v>
      </c>
      <c r="D30" s="79">
        <f>326.83*(100-C$2)/100</f>
        <v>375.85449999999997</v>
      </c>
      <c r="E30" s="79">
        <f>362.26*(100-C$2)/100</f>
        <v>416.59899999999999</v>
      </c>
      <c r="F30" s="79">
        <f>423*(100-C$2)/100</f>
        <v>486.45</v>
      </c>
      <c r="G30" s="79">
        <f>539*(100-C$2)/100</f>
        <v>619.85</v>
      </c>
      <c r="H30" s="79">
        <f>745.36*(100-C$2)/100</f>
        <v>857.1640000000001</v>
      </c>
    </row>
    <row r="31" spans="1:13" x14ac:dyDescent="0.25">
      <c r="A31" s="65" t="s">
        <v>124</v>
      </c>
      <c r="B31" s="151"/>
      <c r="C31" s="79">
        <f>272.29*(100-C$2)/100</f>
        <v>313.13350000000003</v>
      </c>
      <c r="D31" s="79">
        <f>335*(100-C$2)/100</f>
        <v>385.25</v>
      </c>
      <c r="E31" s="79">
        <f>370.56*(100-C$2)/100</f>
        <v>426.14400000000001</v>
      </c>
      <c r="F31" s="79">
        <f>433*(100-C$2)/100</f>
        <v>497.95</v>
      </c>
      <c r="G31" s="79">
        <f>551.76*(100-C$2)/100</f>
        <v>634.524</v>
      </c>
      <c r="H31" s="79">
        <f>762.98*(100-C$2)/100</f>
        <v>877.42700000000002</v>
      </c>
    </row>
    <row r="32" spans="1:13" x14ac:dyDescent="0.25">
      <c r="A32" s="65" t="s">
        <v>71</v>
      </c>
      <c r="B32" s="151"/>
      <c r="C32" s="79">
        <f>290.74*(100-C$2)/100</f>
        <v>334.351</v>
      </c>
      <c r="D32" s="79">
        <f>352.47*(100-C$2)/100</f>
        <v>405.34050000000002</v>
      </c>
      <c r="E32" s="79">
        <f>396.51*(100-C$2)/100</f>
        <v>455.98650000000004</v>
      </c>
      <c r="F32" s="79">
        <f>463*(100-C$2)/100</f>
        <v>532.45000000000005</v>
      </c>
      <c r="G32" s="79">
        <f>589.99*(100-C$2)/100</f>
        <v>678.48850000000004</v>
      </c>
      <c r="H32" s="79">
        <f>815.84*(100-C$2)/100</f>
        <v>938.21600000000001</v>
      </c>
    </row>
    <row r="33" spans="1:8" x14ac:dyDescent="0.25">
      <c r="A33" s="65" t="s">
        <v>70</v>
      </c>
      <c r="B33" s="151"/>
      <c r="C33" s="79">
        <f>315.86*(100-C$2)/100</f>
        <v>363.23900000000003</v>
      </c>
      <c r="D33" s="79">
        <f>382.9*(100-C$2)/100</f>
        <v>440.33499999999998</v>
      </c>
      <c r="E33" s="79">
        <f>430.77*(100-C$2)/100</f>
        <v>495.38549999999998</v>
      </c>
      <c r="F33" s="79">
        <f>503*(100-C$2)/100</f>
        <v>578.45000000000005</v>
      </c>
      <c r="G33" s="79">
        <f>640.96*(100-C$2)/100</f>
        <v>737.10400000000004</v>
      </c>
      <c r="H33" s="79">
        <f>886.33*(100-C$2)/100</f>
        <v>1019.2795000000001</v>
      </c>
    </row>
    <row r="34" spans="1:8" x14ac:dyDescent="0.25">
      <c r="A34" s="65" t="s">
        <v>69</v>
      </c>
      <c r="B34" s="151"/>
      <c r="C34" s="79">
        <f>378.67*(100-C$2)/100</f>
        <v>435.47050000000002</v>
      </c>
      <c r="D34" s="79">
        <f>459.03*(100-C$2)/100</f>
        <v>527.8845</v>
      </c>
      <c r="E34" s="79">
        <f>516.41*(100-C$2)/100</f>
        <v>593.87149999999997</v>
      </c>
      <c r="F34" s="79">
        <f>603*(100-C$2)/100</f>
        <v>693.45</v>
      </c>
      <c r="G34" s="79">
        <f>768.39*(100-C$2)/100</f>
        <v>883.6484999999999</v>
      </c>
      <c r="H34" s="79">
        <f>1062.53*(100-C$2)/100</f>
        <v>1221.9095</v>
      </c>
    </row>
    <row r="35" spans="1:8" x14ac:dyDescent="0.25">
      <c r="A35" s="65" t="s">
        <v>68</v>
      </c>
      <c r="B35" s="151"/>
      <c r="C35" s="79">
        <f>441.46*(100-C$2)/100</f>
        <v>507.67899999999992</v>
      </c>
      <c r="D35" s="79">
        <f>535.16*(100-C$2)/100</f>
        <v>615.43399999999997</v>
      </c>
      <c r="E35" s="79">
        <f>602.06*(100-C$2)/100</f>
        <v>692.36899999999991</v>
      </c>
      <c r="F35" s="79">
        <f>703*(100-C$2)/100</f>
        <v>808.45</v>
      </c>
      <c r="G35" s="79">
        <f>895.92*(100-C$2)/100</f>
        <v>1030.308</v>
      </c>
      <c r="H35" s="79">
        <f>1238.74*(100-C$2)/100</f>
        <v>1424.5510000000002</v>
      </c>
    </row>
    <row r="36" spans="1:8" x14ac:dyDescent="0.25">
      <c r="A36" s="65" t="s">
        <v>67</v>
      </c>
      <c r="B36" s="151"/>
      <c r="C36" s="79">
        <f>315.86*(100-C$2)/100</f>
        <v>363.23900000000003</v>
      </c>
      <c r="D36" s="79">
        <f>382.9*(100-C$2)/100</f>
        <v>440.33499999999998</v>
      </c>
      <c r="E36" s="79">
        <f>430.77*(100-C$2)/100</f>
        <v>495.38549999999998</v>
      </c>
      <c r="F36" s="79">
        <f>503*(100-C$2)/100</f>
        <v>578.45000000000005</v>
      </c>
      <c r="G36" s="79">
        <f>640.96*(100-C$2)/100</f>
        <v>737.10400000000004</v>
      </c>
      <c r="H36" s="79">
        <f>886.33*(100-C$2)/100</f>
        <v>1019.2795000000001</v>
      </c>
    </row>
    <row r="37" spans="1:8" x14ac:dyDescent="0.25">
      <c r="A37" s="65" t="s">
        <v>120</v>
      </c>
      <c r="B37" s="151"/>
      <c r="C37" s="79">
        <f>328.56*(100-C$2)/100</f>
        <v>377.84399999999999</v>
      </c>
      <c r="D37" s="79">
        <f>404.1*(100-C$2)/100</f>
        <v>464.71499999999997</v>
      </c>
      <c r="E37" s="79">
        <f>447.9*(100-C$2)/100</f>
        <v>515.08500000000004</v>
      </c>
      <c r="F37" s="79">
        <f>523*(100-C$2)/100</f>
        <v>601.45000000000005</v>
      </c>
      <c r="G37" s="79">
        <f>666.45*(100-C$2)/100</f>
        <v>766.41750000000002</v>
      </c>
      <c r="H37" s="79">
        <f>921.57*(100-C$2)/100</f>
        <v>1059.8054999999999</v>
      </c>
    </row>
    <row r="38" spans="1:8" x14ac:dyDescent="0.25">
      <c r="A38" s="65" t="s">
        <v>125</v>
      </c>
      <c r="B38" s="151"/>
      <c r="C38" s="79">
        <f>334.85*(100-C$2)/100</f>
        <v>385.07749999999999</v>
      </c>
      <c r="D38" s="79">
        <f>411.82*(100-C$2)/100</f>
        <v>473.59299999999996</v>
      </c>
      <c r="E38" s="79">
        <f>456.47*(100-C$2)/100</f>
        <v>524.94050000000004</v>
      </c>
      <c r="F38" s="79">
        <f>533*(100-C$2)/100</f>
        <v>612.95000000000005</v>
      </c>
      <c r="G38" s="79">
        <v>679.19</v>
      </c>
      <c r="H38" s="79">
        <f>938.19*(100-C$2)/100</f>
        <v>1078.9185</v>
      </c>
    </row>
    <row r="39" spans="1:8" x14ac:dyDescent="0.25">
      <c r="A39" s="65" t="s">
        <v>66</v>
      </c>
      <c r="B39" s="151"/>
      <c r="C39" s="79">
        <f>353.55*(100-C$2)/100</f>
        <v>406.58249999999998</v>
      </c>
      <c r="D39" s="79">
        <f>428.6*(100-C$2)/100</f>
        <v>492.89</v>
      </c>
      <c r="E39" s="79">
        <f>482.16*(100-C$2)/100</f>
        <v>554.48400000000004</v>
      </c>
      <c r="F39" s="79">
        <f>563*(100-C$2)/100</f>
        <v>647.45000000000005</v>
      </c>
      <c r="G39" s="79">
        <f>717.42*(100-C$2)/100</f>
        <v>825.0329999999999</v>
      </c>
      <c r="H39" s="79">
        <f>992.05*(100-C$2)/100</f>
        <v>1140.8575000000001</v>
      </c>
    </row>
    <row r="40" spans="1:8" x14ac:dyDescent="0.25">
      <c r="A40" s="65" t="s">
        <v>65</v>
      </c>
      <c r="B40" s="151"/>
      <c r="C40" s="79">
        <f>378.67*(100-C$2)/100</f>
        <v>435.47050000000002</v>
      </c>
      <c r="D40" s="79">
        <f>459.03*(100-C$2)/100</f>
        <v>527.8845</v>
      </c>
      <c r="E40" s="79">
        <f>516.41*(100-C$2)/100</f>
        <v>593.87149999999997</v>
      </c>
      <c r="F40" s="79">
        <f>603*(100-C$2)/100</f>
        <v>693.45</v>
      </c>
      <c r="G40" s="79">
        <f>768.39*(100-C$2)/100</f>
        <v>883.6484999999999</v>
      </c>
      <c r="H40" s="79">
        <f>1062.53*(100-C$2)/100</f>
        <v>1221.9095</v>
      </c>
    </row>
    <row r="41" spans="1:8" x14ac:dyDescent="0.25">
      <c r="A41" s="65" t="s">
        <v>64</v>
      </c>
      <c r="B41" s="146"/>
      <c r="C41" s="147"/>
      <c r="D41" s="79">
        <f>535.16*(100-C$2)/100</f>
        <v>615.43399999999997</v>
      </c>
      <c r="E41" s="79">
        <f>602.06*(100-C$2)/100</f>
        <v>692.36899999999991</v>
      </c>
      <c r="F41" s="79">
        <f>703*(100-C$2)/100</f>
        <v>808.45</v>
      </c>
      <c r="G41" s="79">
        <f>895.82*(100-C$2)/100</f>
        <v>1030.193</v>
      </c>
      <c r="H41" s="79">
        <f>1238.77*(100-C$2)/100</f>
        <v>1424.5854999999999</v>
      </c>
    </row>
    <row r="42" spans="1:8" x14ac:dyDescent="0.25">
      <c r="A42" s="65" t="s">
        <v>63</v>
      </c>
      <c r="B42" s="146"/>
      <c r="C42" s="147"/>
      <c r="D42" s="79">
        <f>611.28*(100-C$2)/100</f>
        <v>702.97199999999998</v>
      </c>
      <c r="E42" s="79">
        <f>687.71*(100-C$2)/100</f>
        <v>790.86650000000009</v>
      </c>
      <c r="F42" s="79">
        <f>803*(100-C$2)/100</f>
        <v>923.45</v>
      </c>
      <c r="G42" s="79">
        <f>1023.24*(100-C$2)/100</f>
        <v>1176.7260000000001</v>
      </c>
      <c r="H42" s="79">
        <f>1414.95*(100-C$2)/100</f>
        <v>1627.1925000000001</v>
      </c>
    </row>
    <row r="43" spans="1:8" x14ac:dyDescent="0.25">
      <c r="A43" s="65" t="s">
        <v>62</v>
      </c>
      <c r="B43" s="146"/>
      <c r="C43" s="147"/>
      <c r="D43" s="79">
        <f>459.03*(100-C$2)/100</f>
        <v>527.8845</v>
      </c>
      <c r="E43" s="79">
        <f>516.41*(100-C$2)/100</f>
        <v>593.87149999999997</v>
      </c>
      <c r="F43" s="79">
        <f>603*(100-C$2)/100</f>
        <v>693.45</v>
      </c>
      <c r="G43" s="79">
        <f>768*(100-C$2)/100</f>
        <v>883.2</v>
      </c>
      <c r="H43" s="79">
        <f>1062.53*(100-C$2)/100</f>
        <v>1221.9095</v>
      </c>
    </row>
    <row r="44" spans="1:8" x14ac:dyDescent="0.25">
      <c r="A44" s="65" t="s">
        <v>121</v>
      </c>
      <c r="B44" s="146"/>
      <c r="C44" s="147"/>
      <c r="D44" s="79">
        <f>474.22*(100-C$2)/100</f>
        <v>545.35300000000007</v>
      </c>
      <c r="E44" s="79">
        <f>533.55*(100-C$2)/100</f>
        <v>613.58249999999998</v>
      </c>
      <c r="F44" s="79">
        <f>623*(100-C$2)/100</f>
        <v>716.45</v>
      </c>
      <c r="G44" s="79">
        <f>793.87*(100-C$2)/100</f>
        <v>912.95050000000003</v>
      </c>
      <c r="H44" s="79">
        <f>1097.78*(100-C$2)/100</f>
        <v>1262.4469999999999</v>
      </c>
    </row>
    <row r="45" spans="1:8" x14ac:dyDescent="0.25">
      <c r="A45" s="65" t="s">
        <v>126</v>
      </c>
      <c r="B45" s="146"/>
      <c r="C45" s="147"/>
      <c r="D45" s="79">
        <f>481.84*(100-C$2)/100</f>
        <v>554.11599999999999</v>
      </c>
      <c r="E45" s="79">
        <f>542.12*(100-C$2)/100</f>
        <v>623.43799999999999</v>
      </c>
      <c r="F45" s="79">
        <f>633*(100-C$2)/100</f>
        <v>727.95</v>
      </c>
      <c r="G45" s="79">
        <f>806.62*(100-C$2)/100</f>
        <v>927.61300000000006</v>
      </c>
      <c r="H45" s="79">
        <f>1115.4*(100-C$2)/100</f>
        <v>1282.71</v>
      </c>
    </row>
    <row r="46" spans="1:8" x14ac:dyDescent="0.25">
      <c r="A46" s="65" t="s">
        <v>61</v>
      </c>
      <c r="B46" s="146"/>
      <c r="C46" s="147"/>
      <c r="D46" s="79">
        <f>504.8*(100-C$2)/100</f>
        <v>580.52</v>
      </c>
      <c r="E46" s="79">
        <f>567.8*(100-C$2)/100</f>
        <v>652.96999999999991</v>
      </c>
      <c r="F46" s="79">
        <f>663*(100-C$2)/100</f>
        <v>762.45</v>
      </c>
      <c r="G46" s="79">
        <f>844.85*(100-C$2)/100</f>
        <v>971.57749999999999</v>
      </c>
      <c r="H46" s="79">
        <f>1168.26*(100-C$2)/100</f>
        <v>1343.499</v>
      </c>
    </row>
    <row r="47" spans="1:8" x14ac:dyDescent="0.25">
      <c r="A47" s="65" t="s">
        <v>60</v>
      </c>
      <c r="B47" s="146"/>
      <c r="C47" s="147"/>
      <c r="D47" s="79">
        <f>535.16*(100-C$2)/100</f>
        <v>615.43399999999997</v>
      </c>
      <c r="E47" s="79">
        <f>602.06*(100-C$2)/100</f>
        <v>692.36899999999991</v>
      </c>
      <c r="F47" s="79">
        <f>703*(100-C$2)/100</f>
        <v>808.45</v>
      </c>
      <c r="G47" s="79">
        <f>895.82*(100-C$2)/100</f>
        <v>1030.193</v>
      </c>
      <c r="H47" s="79">
        <f>1238.74*(100-C$2)/100</f>
        <v>1424.5510000000002</v>
      </c>
    </row>
    <row r="48" spans="1:8" x14ac:dyDescent="0.25">
      <c r="A48" s="65" t="s">
        <v>59</v>
      </c>
      <c r="B48" s="146"/>
      <c r="C48" s="147"/>
      <c r="D48" s="143"/>
      <c r="E48" s="79">
        <f>687.71*(100-C$2)/100</f>
        <v>790.86650000000009</v>
      </c>
      <c r="F48" s="79">
        <f>803*(100-C$2)/100</f>
        <v>923.45</v>
      </c>
      <c r="G48" s="79">
        <f>1023.24*(100-C$2)/100</f>
        <v>1176.7260000000001</v>
      </c>
      <c r="H48" s="79">
        <f>1414.95*(100-C$2)/100</f>
        <v>1627.1925000000001</v>
      </c>
    </row>
    <row r="49" spans="1:8" x14ac:dyDescent="0.25">
      <c r="A49" s="65" t="s">
        <v>58</v>
      </c>
      <c r="B49" s="146"/>
      <c r="C49" s="147"/>
      <c r="D49" s="144"/>
      <c r="E49" s="79">
        <f>773.33*(100-C$2)/100</f>
        <v>889.32950000000017</v>
      </c>
      <c r="F49" s="79">
        <f>903*(100-C$2)/100</f>
        <v>1038.45</v>
      </c>
      <c r="G49" s="79">
        <f>1150.67*(100-C$2)/100</f>
        <v>1323.2705000000001</v>
      </c>
      <c r="H49" s="79">
        <f>1591.16*(100-C$2)/100</f>
        <v>1829.8340000000003</v>
      </c>
    </row>
    <row r="50" spans="1:8" x14ac:dyDescent="0.25">
      <c r="A50" s="65" t="s">
        <v>57</v>
      </c>
      <c r="B50" s="146"/>
      <c r="C50" s="147"/>
      <c r="D50" s="144"/>
      <c r="E50" s="79">
        <f>602.06*(100-C$2)/100</f>
        <v>692.36899999999991</v>
      </c>
      <c r="F50" s="79">
        <f>703*(100-C$2)/100</f>
        <v>808.45</v>
      </c>
      <c r="G50" s="79">
        <f>895.82*(100-C$2)/100</f>
        <v>1030.193</v>
      </c>
      <c r="H50" s="79">
        <f>1238.94*(100-C$2)/100</f>
        <v>1424.7809999999999</v>
      </c>
    </row>
    <row r="51" spans="1:8" x14ac:dyDescent="0.25">
      <c r="A51" s="65" t="s">
        <v>56</v>
      </c>
      <c r="B51" s="146"/>
      <c r="C51" s="147"/>
      <c r="D51" s="144"/>
      <c r="E51" s="79">
        <f>653.45*(100-C$2)/100</f>
        <v>751.46749999999997</v>
      </c>
      <c r="F51" s="79">
        <f>763*(100-C$2)/100</f>
        <v>877.45</v>
      </c>
      <c r="G51" s="79">
        <f>972.27*(100-C$2)/100</f>
        <v>1118.1105</v>
      </c>
      <c r="H51" s="79">
        <f>1344.47*(100-C$2)/100</f>
        <v>1546.1405000000002</v>
      </c>
    </row>
    <row r="52" spans="1:8" x14ac:dyDescent="0.25">
      <c r="A52" s="65" t="s">
        <v>55</v>
      </c>
      <c r="B52" s="146"/>
      <c r="C52" s="147"/>
      <c r="D52" s="144"/>
      <c r="E52" s="79">
        <f>687.71*(100-C$2)/100</f>
        <v>790.86650000000009</v>
      </c>
      <c r="F52" s="79">
        <f>803*(100-C$2)/100</f>
        <v>923.45</v>
      </c>
      <c r="G52" s="79">
        <f>1023.24*(100-C$2)/100</f>
        <v>1176.7260000000001</v>
      </c>
      <c r="H52" s="79">
        <f>1414.95*(100-C$2)/100</f>
        <v>1627.1925000000001</v>
      </c>
    </row>
    <row r="53" spans="1:8" x14ac:dyDescent="0.25">
      <c r="A53" s="65" t="s">
        <v>54</v>
      </c>
      <c r="B53" s="146"/>
      <c r="C53" s="147"/>
      <c r="D53" s="144"/>
      <c r="E53" s="79">
        <f>773.33*(100-C$2)/100</f>
        <v>889.32950000000017</v>
      </c>
      <c r="F53" s="79">
        <f>903*(100-C$2)/100</f>
        <v>1038.45</v>
      </c>
      <c r="G53" s="79">
        <f>1150.67*(100-C$2)/100</f>
        <v>1323.2705000000001</v>
      </c>
      <c r="H53" s="79">
        <f>1591.16*(100-C$2)/100</f>
        <v>1829.8340000000003</v>
      </c>
    </row>
    <row r="54" spans="1:8" x14ac:dyDescent="0.25">
      <c r="A54" s="65" t="s">
        <v>53</v>
      </c>
      <c r="B54" s="148"/>
      <c r="C54" s="149"/>
      <c r="D54" s="145"/>
      <c r="E54" s="79">
        <f>859*(100-C$2)/100</f>
        <v>987.85</v>
      </c>
      <c r="F54" s="79">
        <f>1003*(100-C$2)/100</f>
        <v>1153.45</v>
      </c>
      <c r="G54" s="79">
        <f>1278.1*(100-C$2)/100</f>
        <v>1469.8150000000001</v>
      </c>
      <c r="H54" s="79">
        <f>1767.36*(100-C$2)/100</f>
        <v>2032.4639999999999</v>
      </c>
    </row>
  </sheetData>
  <sheetProtection algorithmName="SHA-512" hashValue="m5utl0pw3w3MEV4FDDBVGUJqPyubqGkqFRcgVVVV0GaDWFGcdeuBhXEr9UM1F72yhh7E6H5RQ3a5pVTC37gEhA==" saltValue="IkgajPQirNlTAh7WuWHjLw==" spinCount="100000" sheet="1" objects="1" scenarios="1"/>
  <mergeCells count="7">
    <mergeCell ref="F1:H1"/>
    <mergeCell ref="B3:H3"/>
    <mergeCell ref="M17:M18"/>
    <mergeCell ref="D48:D54"/>
    <mergeCell ref="B41:C54"/>
    <mergeCell ref="B24:B40"/>
    <mergeCell ref="B4:H4"/>
  </mergeCells>
  <hyperlinks>
    <hyperlink ref="I5" location="ГЛАВНАЯ!A1" display="оглавление&gt;&gt;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zoomScale="115" zoomScaleNormal="115" workbookViewId="0">
      <pane xSplit="8" ySplit="5" topLeftCell="I6" activePane="bottomRight" state="frozen"/>
      <selection pane="topRight" activeCell="I1" sqref="I1"/>
      <selection pane="bottomLeft" activeCell="A6" sqref="A6"/>
      <selection pane="bottomRight" activeCell="B4" sqref="B4:H4"/>
    </sheetView>
  </sheetViews>
  <sheetFormatPr defaultRowHeight="15" x14ac:dyDescent="0.25"/>
  <cols>
    <col min="1" max="1" width="38.85546875" customWidth="1"/>
    <col min="2" max="2" width="12.5703125" customWidth="1"/>
    <col min="5" max="5" width="11.28515625" customWidth="1"/>
    <col min="8" max="8" width="13.5703125" customWidth="1"/>
  </cols>
  <sheetData>
    <row r="1" spans="1:12" ht="66.75" customHeight="1" x14ac:dyDescent="0.35">
      <c r="A1" s="156"/>
      <c r="B1" s="156"/>
      <c r="C1" s="157" t="s">
        <v>84</v>
      </c>
      <c r="D1" s="157"/>
      <c r="E1" s="82"/>
      <c r="F1" s="159" t="s">
        <v>1019</v>
      </c>
      <c r="G1" s="159"/>
      <c r="H1" s="159"/>
      <c r="I1" s="32"/>
      <c r="J1" s="32"/>
      <c r="K1" s="32"/>
      <c r="L1" s="32"/>
    </row>
    <row r="2" spans="1:12" ht="4.5" customHeight="1" x14ac:dyDescent="0.45">
      <c r="A2" s="37"/>
      <c r="B2" s="37"/>
      <c r="C2" s="86">
        <f>ГЛАВНАЯ!E12</f>
        <v>-15</v>
      </c>
      <c r="D2" s="86"/>
      <c r="E2" s="82"/>
      <c r="F2" s="159"/>
      <c r="G2" s="159"/>
      <c r="H2" s="159"/>
      <c r="I2" s="32"/>
      <c r="J2" s="32"/>
      <c r="K2" s="32"/>
      <c r="L2" s="32"/>
    </row>
    <row r="3" spans="1:12" ht="24.95" customHeight="1" x14ac:dyDescent="0.25">
      <c r="A3" s="78" t="s">
        <v>1029</v>
      </c>
      <c r="B3" s="158" t="s">
        <v>99</v>
      </c>
      <c r="C3" s="158"/>
      <c r="D3" s="158"/>
      <c r="E3" s="158"/>
      <c r="F3" s="158"/>
      <c r="G3" s="158"/>
      <c r="H3" s="158"/>
      <c r="I3" s="32"/>
      <c r="J3" s="32"/>
      <c r="K3" s="32"/>
      <c r="L3" s="32"/>
    </row>
    <row r="4" spans="1:12" ht="20.100000000000001" customHeight="1" x14ac:dyDescent="0.25">
      <c r="A4" s="80" t="s">
        <v>26</v>
      </c>
      <c r="B4" s="153" t="s">
        <v>115</v>
      </c>
      <c r="C4" s="154"/>
      <c r="D4" s="154"/>
      <c r="E4" s="154"/>
      <c r="F4" s="154"/>
      <c r="G4" s="154"/>
      <c r="H4" s="155"/>
    </row>
    <row r="5" spans="1:12" ht="20.100000000000001" customHeight="1" x14ac:dyDescent="0.25">
      <c r="A5" s="80" t="s">
        <v>1030</v>
      </c>
      <c r="B5" s="81">
        <v>0.55000000000000004</v>
      </c>
      <c r="C5" s="81">
        <v>0.7</v>
      </c>
      <c r="D5" s="81">
        <v>0.8</v>
      </c>
      <c r="E5" s="81">
        <v>1</v>
      </c>
      <c r="F5" s="81">
        <v>1.2</v>
      </c>
      <c r="G5" s="81">
        <v>1.5</v>
      </c>
      <c r="H5" s="81">
        <v>2</v>
      </c>
      <c r="I5" s="30" t="s">
        <v>1018</v>
      </c>
    </row>
    <row r="6" spans="1:12" x14ac:dyDescent="0.25">
      <c r="A6" s="65" t="s">
        <v>275</v>
      </c>
      <c r="B6" s="87">
        <f>65.36*(100-C$2)/100*0.983</f>
        <v>73.886212</v>
      </c>
      <c r="C6" s="79">
        <f>77.18*(100-C$2)/100*0.983</f>
        <v>87.248131000000001</v>
      </c>
      <c r="D6" s="79">
        <f>93.25*(100-C$2)/100*0.983</f>
        <v>105.4144625</v>
      </c>
      <c r="E6" s="79">
        <f>105.34*(100-C$2)/100*0.983</f>
        <v>119.081603</v>
      </c>
      <c r="F6" s="79">
        <f>123*(100-C$2)/100*0.983</f>
        <v>139.04534999999998</v>
      </c>
      <c r="G6" s="79">
        <f>156.76*(100-C$2)/100*0.983</f>
        <v>177.20934199999996</v>
      </c>
      <c r="H6" s="79">
        <f>216.74*(100-C$2)/100*0.983</f>
        <v>245.01373300000003</v>
      </c>
    </row>
    <row r="7" spans="1:12" x14ac:dyDescent="0.25">
      <c r="A7" s="65" t="s">
        <v>276</v>
      </c>
      <c r="B7" s="87">
        <f>81.3*(100-C$2)/100*0.983</f>
        <v>91.905585000000002</v>
      </c>
      <c r="C7" s="79">
        <f>96.07*(100-C$2)/100*0.983</f>
        <v>108.60233149999999</v>
      </c>
      <c r="D7" s="79">
        <f>116.46*(100-C$2)/100*0.983</f>
        <v>131.652207</v>
      </c>
      <c r="E7" s="79">
        <f>131.02*(100-C$2)/100*0.983</f>
        <v>148.111559</v>
      </c>
      <c r="F7" s="79">
        <f>153.18*(100-C$2)/100*0.983</f>
        <v>173.16233099999999</v>
      </c>
      <c r="G7" s="79">
        <f>194.97*(100-C$2)/100*0.983</f>
        <v>220.40383649999998</v>
      </c>
      <c r="H7" s="79">
        <f>569.6*(100-C$2)/100*0.983</f>
        <v>643.90431999999998</v>
      </c>
    </row>
    <row r="8" spans="1:12" x14ac:dyDescent="0.25">
      <c r="A8" s="65" t="s">
        <v>277</v>
      </c>
      <c r="B8" s="87">
        <f>91.59*(100-C$2)/100*0.983</f>
        <v>103.5379155</v>
      </c>
      <c r="C8" s="79">
        <f>108.55*(100-C$2)/100*0.983</f>
        <v>122.7103475</v>
      </c>
      <c r="D8" s="79">
        <f>131.16*(100-C$2)/100*0.983</f>
        <v>148.269822</v>
      </c>
      <c r="E8" s="79">
        <f>148.15*(100-C$2)/100*0.983</f>
        <v>167.4761675</v>
      </c>
      <c r="F8" s="79">
        <f>173*(100-C$2)/100*0.983</f>
        <v>195.56784999999999</v>
      </c>
      <c r="G8" s="79">
        <f>220.5*(100-C$2)/100*0.983</f>
        <v>249.26422499999998</v>
      </c>
      <c r="H8" s="79">
        <f>304.84*(100-C$2)/100*0.983</f>
        <v>344.60637799999995</v>
      </c>
    </row>
    <row r="9" spans="1:12" x14ac:dyDescent="0.25">
      <c r="A9" s="65" t="s">
        <v>278</v>
      </c>
      <c r="B9" s="87">
        <f>75.99*(100-C$2)/100*0.983</f>
        <v>85.902895499999971</v>
      </c>
      <c r="C9" s="79">
        <f>89.8*(100-C$2)/100*0.983</f>
        <v>101.51441</v>
      </c>
      <c r="D9" s="79">
        <f>108.87*(100-C$2)/100*0.983</f>
        <v>123.0720915</v>
      </c>
      <c r="E9" s="79">
        <f>122.46*(100-C$2)/100*0.983</f>
        <v>138.43490700000001</v>
      </c>
      <c r="F9" s="79">
        <f>143*(100-C$2)/100*0.983</f>
        <v>161.65434999999999</v>
      </c>
      <c r="G9" s="79">
        <f>184.96*(100-C$2)/100*0.983</f>
        <v>209.088032</v>
      </c>
      <c r="H9" s="79">
        <f>251.98*(100-C$2)/100*0.983</f>
        <v>284.85079099999996</v>
      </c>
    </row>
    <row r="10" spans="1:12" x14ac:dyDescent="0.25">
      <c r="A10" s="65" t="s">
        <v>279</v>
      </c>
      <c r="B10" s="87">
        <f>107.87*(100-C$2)/100*0.983</f>
        <v>121.94164150000002</v>
      </c>
      <c r="C10" s="79">
        <f>127.7*(100-C$2)/100*0.983</f>
        <v>144.358465</v>
      </c>
      <c r="D10" s="79">
        <f>154.54*(100-C$2)/100*0.983</f>
        <v>174.69974299999998</v>
      </c>
      <c r="E10" s="79">
        <f>173.85*(100-C$2)/100*0.983</f>
        <v>196.52873250000002</v>
      </c>
      <c r="F10" s="79">
        <f>203*(100-C$2)/100*0.983</f>
        <v>229.48134999999999</v>
      </c>
      <c r="G10" s="79">
        <f>258.68*(100-C$2)/100*0.983</f>
        <v>292.42480600000005</v>
      </c>
      <c r="H10" s="79">
        <f>357.7*(100-C$2)/100*0.983</f>
        <v>404.361965</v>
      </c>
    </row>
    <row r="11" spans="1:12" x14ac:dyDescent="0.25">
      <c r="A11" s="65" t="s">
        <v>280</v>
      </c>
      <c r="B11" s="87">
        <f>118.5*(100-C$2)/100*0.983</f>
        <v>133.958325</v>
      </c>
      <c r="C11" s="79">
        <f>140.61*(100-C$2)/100*0.983</f>
        <v>158.9525745</v>
      </c>
      <c r="D11" s="79">
        <f>170.27*(100-C$2)/100*0.983</f>
        <v>192.48172150000002</v>
      </c>
      <c r="E11" s="79">
        <f>190.99*(100-C$2)/100*0.983</f>
        <v>215.90464550000002</v>
      </c>
      <c r="F11" s="79">
        <f>223*(100-C$2)/100*0.983</f>
        <v>252.09034999999997</v>
      </c>
      <c r="G11" s="79">
        <f>288.43*(100-C$2)/100*0.983</f>
        <v>326.05569350000007</v>
      </c>
      <c r="H11" s="79">
        <f>392.94*(100-C$2)/100*0.983</f>
        <v>444.19902299999995</v>
      </c>
    </row>
    <row r="12" spans="1:12" x14ac:dyDescent="0.25">
      <c r="A12" s="65" t="s">
        <v>281</v>
      </c>
      <c r="B12" s="87">
        <f>107.87*(100-C$2)/100*0.983</f>
        <v>121.94164150000002</v>
      </c>
      <c r="C12" s="79">
        <f>146.92*(100-C$2)/100*0.983</f>
        <v>166.085714</v>
      </c>
      <c r="D12" s="79">
        <f>177.91*(100-C$2)/100*0.983</f>
        <v>201.1183595</v>
      </c>
      <c r="E12" s="79">
        <f>199.53*(100-C$2)/100*0.983</f>
        <v>225.55868850000002</v>
      </c>
      <c r="F12" s="79">
        <f>233*(100-C$2)/100*0.983</f>
        <v>263.39484999999996</v>
      </c>
      <c r="G12" s="79">
        <f>296.91*(100-C$2)/100*0.983</f>
        <v>335.6419095</v>
      </c>
      <c r="H12" s="79">
        <f>410.56*(100-C$2)/100*0.983</f>
        <v>464.11755199999999</v>
      </c>
    </row>
    <row r="13" spans="1:12" x14ac:dyDescent="0.25">
      <c r="A13" s="65" t="s">
        <v>282</v>
      </c>
      <c r="B13" s="87">
        <f>139.75*(100-C$2)/100*0.983</f>
        <v>157.98038750000001</v>
      </c>
      <c r="C13" s="79">
        <f>165.16*(100-C$2)/100*0.983</f>
        <v>186.70512199999996</v>
      </c>
      <c r="D13" s="79">
        <f>200.21*(100-C$2)/100*0.983</f>
        <v>226.3273945</v>
      </c>
      <c r="E13" s="79">
        <f>225.24*(100-C$2)/100*0.983</f>
        <v>254.622558</v>
      </c>
      <c r="F13" s="79">
        <f>263*(100-C$2)/100*0.983</f>
        <v>297.30834999999996</v>
      </c>
      <c r="G13" s="79">
        <f>335.13*(100-C$2)/100*0.983</f>
        <v>378.84770850000001</v>
      </c>
      <c r="H13" s="79">
        <f>463.43*(100-C$2)/100*0.983</f>
        <v>523.88444350000009</v>
      </c>
    </row>
    <row r="14" spans="1:12" x14ac:dyDescent="0.25">
      <c r="A14" s="65" t="s">
        <v>283</v>
      </c>
      <c r="B14" s="87">
        <f>161*(100-C$2)/100*0.983</f>
        <v>182.00245000000001</v>
      </c>
      <c r="C14" s="79">
        <f>190.28*(100-C$2)/100*0.983</f>
        <v>215.102026</v>
      </c>
      <c r="D14" s="79">
        <f>230.67*(100-C$2)/100*0.983</f>
        <v>260.76090149999999</v>
      </c>
      <c r="E14" s="79">
        <f>259.49*(100-C$2)/100*0.983</f>
        <v>293.34047049999998</v>
      </c>
      <c r="F14" s="79">
        <f>303*(100-C$2)/100*0.983</f>
        <v>342.52634999999998</v>
      </c>
      <c r="G14" s="79">
        <f>386.11*(100-C$2)/100*0.983</f>
        <v>436.4780495</v>
      </c>
      <c r="H14" s="79">
        <f>533.91*(100-C$2)/100*0.983</f>
        <v>603.5585595</v>
      </c>
    </row>
    <row r="15" spans="1:12" x14ac:dyDescent="0.25">
      <c r="A15" s="65" t="s">
        <v>284</v>
      </c>
      <c r="B15" s="87">
        <f>134.44*(100-C$2)/100*0.983</f>
        <v>151.977698</v>
      </c>
      <c r="C15" s="79">
        <f>158.88*(100-C$2)/100*0.983</f>
        <v>179.605896</v>
      </c>
      <c r="D15" s="79">
        <f>192.59*(100-C$2)/100*0.983</f>
        <v>217.71336550000001</v>
      </c>
      <c r="E15" s="79">
        <f>216.67*(100-C$2)/100*0.983</f>
        <v>244.93460150000001</v>
      </c>
      <c r="F15" s="79">
        <f>253*(100-C$2)/100*0.983</f>
        <v>286.00385</v>
      </c>
      <c r="G15" s="79">
        <f>327.23*(100-C$2)/100*0.983</f>
        <v>369.91715350000004</v>
      </c>
      <c r="H15" s="79">
        <f>45.91*(100-C$2)/100*0.983</f>
        <v>51.898959499999997</v>
      </c>
    </row>
    <row r="16" spans="1:12" x14ac:dyDescent="0.25">
      <c r="A16" s="65" t="s">
        <v>285</v>
      </c>
      <c r="B16" s="87">
        <f>166.32*(100-C$2)/100*0.983</f>
        <v>188.01644400000001</v>
      </c>
      <c r="C16" s="79">
        <f>196.55*(100-C$2)/100*0.983</f>
        <v>222.18994749999999</v>
      </c>
      <c r="D16" s="79">
        <f>238.26*(100-C$2)/100*0.983</f>
        <v>269.34101699999997</v>
      </c>
      <c r="E16" s="79">
        <f>268.06*(100-C$2)/100*0.983</f>
        <v>303.02842700000002</v>
      </c>
      <c r="F16" s="79">
        <f>313*(100-C$2)/100*0.983</f>
        <v>353.83085</v>
      </c>
      <c r="G16" s="79">
        <f>404.83*(100-C$2)/100*0.983</f>
        <v>457.64007349999997</v>
      </c>
      <c r="H16" s="79">
        <f>551.53*(100-C$2)/100*0.983</f>
        <v>623.47708850000004</v>
      </c>
    </row>
    <row r="17" spans="1:8" x14ac:dyDescent="0.25">
      <c r="A17" s="65" t="s">
        <v>286</v>
      </c>
      <c r="B17" s="87">
        <f>187.57*(100-C$2)/100*0.983</f>
        <v>212.03850650000001</v>
      </c>
      <c r="C17" s="79">
        <f>221.67*(100-C$2)/100*0.983</f>
        <v>250.58685149999999</v>
      </c>
      <c r="D17" s="79">
        <f>268.72*(100-C$2)/100*0.983</f>
        <v>303.77452400000004</v>
      </c>
      <c r="E17" s="79">
        <f>302.22*(100-C$2)/100*0.983</f>
        <v>341.64459900000003</v>
      </c>
      <c r="F17" s="79">
        <f>353*(100-C$2)/100*0.983</f>
        <v>399.04884999999996</v>
      </c>
      <c r="G17" s="79">
        <f>449.83*(100-C$2)/100*0.983</f>
        <v>508.51032349999997</v>
      </c>
      <c r="H17" s="79">
        <f>622.01*(100-C$2)/100*0.983</f>
        <v>703.15120449999995</v>
      </c>
    </row>
    <row r="18" spans="1:8" x14ac:dyDescent="0.25">
      <c r="A18" s="65" t="s">
        <v>287</v>
      </c>
      <c r="B18" s="87">
        <f>240.7*(100-C$2)/100*0.983</f>
        <v>272.09931499999999</v>
      </c>
      <c r="C18" s="79">
        <f>284.48*(100-C$2)/100*0.983</f>
        <v>321.590416</v>
      </c>
      <c r="D18" s="79">
        <f>344.85*(100-C$2)/100*0.983</f>
        <v>389.83568249999996</v>
      </c>
      <c r="E18" s="79">
        <f>378.96*(100-C$2)/100*0.983</f>
        <v>428.39533199999994</v>
      </c>
      <c r="F18" s="79">
        <f>453*(100-C$2)/100*0.983</f>
        <v>512.09385000000009</v>
      </c>
      <c r="G18" s="79">
        <f>577.26*(100-C$2)/100*0.983</f>
        <v>652.56356699999992</v>
      </c>
      <c r="H18" s="79">
        <f>798.22*(100-C$2)/100*0.983</f>
        <v>902.34779900000001</v>
      </c>
    </row>
    <row r="19" spans="1:8" x14ac:dyDescent="0.25">
      <c r="A19" s="65" t="s">
        <v>288</v>
      </c>
      <c r="B19" s="87">
        <f>161*(100-C$2)/100*0.983</f>
        <v>182.00245000000001</v>
      </c>
      <c r="C19" s="79">
        <f>190.29*(100-C$2)/100*0.983</f>
        <v>215.11333049999999</v>
      </c>
      <c r="D19" s="79">
        <f>230.67*(100-C$2)/100*0.983</f>
        <v>260.76090149999999</v>
      </c>
      <c r="E19" s="79">
        <f>259.49*(100-C$2)/100*0.983</f>
        <v>293.34047049999998</v>
      </c>
      <c r="F19" s="79">
        <f>303*(100-C$2)/100*0.983</f>
        <v>342.52634999999998</v>
      </c>
      <c r="G19" s="79">
        <f>386*(100-C$2)/100*0.983</f>
        <v>436.35369999999995</v>
      </c>
      <c r="H19" s="79">
        <f>533.91*(100-C$2)/100*0.983</f>
        <v>603.5585595</v>
      </c>
    </row>
    <row r="20" spans="1:8" x14ac:dyDescent="0.25">
      <c r="A20" s="65" t="s">
        <v>289</v>
      </c>
      <c r="B20" s="87">
        <f>171.63*(100-C$2)/100*0.983</f>
        <v>194.01913350000001</v>
      </c>
      <c r="C20" s="79">
        <f>202.85*(100-C$2)/100*0.983</f>
        <v>229.31178249999999</v>
      </c>
      <c r="D20" s="79">
        <f>246.25*(100-C$2)/100*0.983</f>
        <v>278.3733125</v>
      </c>
      <c r="E20" s="79">
        <f>276.61*(100-C$2)/100*0.983</f>
        <v>312.69377449999996</v>
      </c>
      <c r="F20" s="79">
        <f>323*(100-C$2)/100*0.983</f>
        <v>365.13534999999996</v>
      </c>
      <c r="G20" s="79">
        <f>411.59*(100-C$2)/100*0.983</f>
        <v>465.28191549999997</v>
      </c>
      <c r="H20" s="79">
        <f>569.15*(100-C$2)/100*0.983</f>
        <v>643.39561750000007</v>
      </c>
    </row>
    <row r="21" spans="1:8" x14ac:dyDescent="0.25">
      <c r="A21" s="65" t="s">
        <v>290</v>
      </c>
      <c r="B21" s="87">
        <f>176.95*(100-C$2)/100*0.983</f>
        <v>200.03312750000001</v>
      </c>
      <c r="C21" s="79">
        <f>211.95*(100-C$2)/100*0.983</f>
        <v>239.59887750000001</v>
      </c>
      <c r="D21" s="79">
        <f>257.3*(100-C$2)/100*0.983</f>
        <v>290.86478499999998</v>
      </c>
      <c r="E21" s="79">
        <f>285.18*(100-C$2)/100*0.983</f>
        <v>322.38173100000006</v>
      </c>
      <c r="F21" s="79">
        <f>333*(100-C$2)/100*0.983</f>
        <v>376.43984999999998</v>
      </c>
      <c r="G21" s="79">
        <v>424.33</v>
      </c>
      <c r="H21" s="79">
        <f>586.77*(100-C$2)/100*0.983</f>
        <v>663.31414650000011</v>
      </c>
    </row>
    <row r="22" spans="1:8" x14ac:dyDescent="0.25">
      <c r="A22" s="65" t="s">
        <v>291</v>
      </c>
      <c r="B22" s="87">
        <f>192.88*(100-C$2)/100*0.983</f>
        <v>218.04119600000001</v>
      </c>
      <c r="C22" s="79">
        <f>227.95*(100-C$2)/100*0.983</f>
        <v>257.68607749999995</v>
      </c>
      <c r="D22" s="79">
        <f>267.34*(100-C$2)/100*0.983</f>
        <v>302.21450299999998</v>
      </c>
      <c r="E22" s="79">
        <f>310.89*(100-C$2)/100*0.983</f>
        <v>351.44560050000001</v>
      </c>
      <c r="F22" s="79">
        <f>363*(100-C$2)/100*0.983</f>
        <v>410.35334999999998</v>
      </c>
      <c r="G22" s="79">
        <v>462.56</v>
      </c>
      <c r="H22" s="79">
        <f>639.63*(100-C$2)/100*0.983</f>
        <v>723.06973349999998</v>
      </c>
    </row>
    <row r="23" spans="1:8" x14ac:dyDescent="0.25">
      <c r="A23" s="65" t="s">
        <v>292</v>
      </c>
      <c r="B23" s="87">
        <f>214.14*(100-C$2)/100*0.983</f>
        <v>242.07456299999998</v>
      </c>
      <c r="C23" s="79">
        <f>253.07*(100-C$2)/100*0.983</f>
        <v>286.08298150000002</v>
      </c>
      <c r="D23" s="79">
        <f>306.8*(100-C$2)/100*0.983</f>
        <v>346.82205999999996</v>
      </c>
      <c r="E23" s="79">
        <f>345.14*(100-C$2)/100*0.983</f>
        <v>390.16351300000002</v>
      </c>
      <c r="F23" s="79">
        <f>403*(100-C$2)/100*0.983</f>
        <v>455.57135</v>
      </c>
      <c r="G23" s="79">
        <f>513.53*(100-C$2)/100*0.983</f>
        <v>580.51998849999995</v>
      </c>
      <c r="H23" s="79">
        <f>710.12*(100-C$2)/100*0.983</f>
        <v>802.75515400000006</v>
      </c>
    </row>
    <row r="24" spans="1:8" x14ac:dyDescent="0.25">
      <c r="A24" s="65" t="s">
        <v>293</v>
      </c>
      <c r="B24" s="88"/>
      <c r="C24" s="79">
        <f>315.86*(100-C$2)/100*0.983</f>
        <v>357.06393700000001</v>
      </c>
      <c r="D24" s="79">
        <f>382.9*(100-C$2)/100*0.983</f>
        <v>432.84930499999996</v>
      </c>
      <c r="E24" s="79">
        <f>431.42*(100-C$2)/100*0.983</f>
        <v>487.69873900000005</v>
      </c>
      <c r="F24" s="79">
        <f>503*(100-C$2)/100*0.983</f>
        <v>568.61635000000001</v>
      </c>
      <c r="G24" s="79">
        <v>640.96</v>
      </c>
      <c r="H24" s="79">
        <f>886.33*(100-C$2)/100*0.983</f>
        <v>1001.9517485000001</v>
      </c>
    </row>
    <row r="25" spans="1:8" x14ac:dyDescent="0.25">
      <c r="A25" s="65" t="s">
        <v>294</v>
      </c>
      <c r="B25" s="89"/>
      <c r="C25" s="79">
        <f>378.67*(100-C$2)/100*0.983</f>
        <v>428.06750149999999</v>
      </c>
      <c r="D25" s="79">
        <f>459.03*(100-C$2)/100*0.983</f>
        <v>518.91046349999999</v>
      </c>
      <c r="E25" s="79">
        <f>516.41*(100-C$2)/100*0.983</f>
        <v>583.77568450000001</v>
      </c>
      <c r="F25" s="79">
        <f>603*(100-C$2)/100*0.983</f>
        <v>681.66135000000008</v>
      </c>
      <c r="G25" s="79">
        <f>768.38*(100-C$2)/100*0.983</f>
        <v>868.61517099999992</v>
      </c>
      <c r="H25" s="79">
        <f>1062.63*(100-C$2)/100*0.983</f>
        <v>1201.2500835000003</v>
      </c>
    </row>
    <row r="26" spans="1:8" x14ac:dyDescent="0.25">
      <c r="A26" s="65" t="s">
        <v>295</v>
      </c>
      <c r="B26" s="89"/>
      <c r="C26" s="79">
        <f>221.67*(100-C$2)/100*0.983</f>
        <v>250.58685149999999</v>
      </c>
      <c r="D26" s="79">
        <f>268.72*(100-C$2)/100*0.983</f>
        <v>303.77452400000004</v>
      </c>
      <c r="E26" s="79">
        <f>302.32*(100-C$2)/100*0.983</f>
        <v>341.75764399999997</v>
      </c>
      <c r="F26" s="79">
        <f>353*(100-C$2)/100*0.983</f>
        <v>399.04884999999996</v>
      </c>
      <c r="G26" s="79">
        <f>449.82*(100-C$2)/100*0.983</f>
        <v>508.49901899999998</v>
      </c>
      <c r="H26" s="79">
        <f>622.01*(100-C$2)/100*0.983</f>
        <v>703.15120449999995</v>
      </c>
    </row>
    <row r="27" spans="1:8" x14ac:dyDescent="0.25">
      <c r="A27" s="65" t="s">
        <v>296</v>
      </c>
      <c r="B27" s="89"/>
      <c r="C27" s="79">
        <f>259.36*(100-C$2)/100*0.983</f>
        <v>293.193512</v>
      </c>
      <c r="D27" s="79">
        <f>314.39*(100-C$2)/100*0.983</f>
        <v>355.4021755</v>
      </c>
      <c r="E27" s="79">
        <f>352.88*(100-C$2)/100*0.983</f>
        <v>398.91319599999997</v>
      </c>
      <c r="F27" s="79">
        <f>413*(100-C$2)/100*0.983</f>
        <v>466.87584999999996</v>
      </c>
      <c r="G27" s="79">
        <f>526.27*(100-C$2)/100*0.983</f>
        <v>594.92192149999994</v>
      </c>
      <c r="H27" s="79">
        <f>727.74*(100-C$2)/100*0.983</f>
        <v>822.6736830000001</v>
      </c>
    </row>
    <row r="28" spans="1:8" x14ac:dyDescent="0.25">
      <c r="A28" s="65" t="s">
        <v>297</v>
      </c>
      <c r="B28" s="89"/>
      <c r="C28" s="79">
        <f>284.48*(100-C$2)/100*0.983</f>
        <v>321.590416</v>
      </c>
      <c r="D28" s="79">
        <f>344.85*(100-C$2)/100*0.983</f>
        <v>389.83568249999996</v>
      </c>
      <c r="E28" s="79">
        <f>387.96*(100-C$2)/100*0.983</f>
        <v>438.56938199999996</v>
      </c>
      <c r="F28" s="79">
        <f>453*(100-C$2)/100*0.983</f>
        <v>512.09385000000009</v>
      </c>
      <c r="G28" s="79">
        <f>577.24*(100-C$2)/100*0.983</f>
        <v>652.54095800000005</v>
      </c>
      <c r="H28" s="79">
        <f>798.22*(100-C$2)/100*0.983</f>
        <v>902.34779900000001</v>
      </c>
    </row>
    <row r="29" spans="1:8" x14ac:dyDescent="0.25">
      <c r="A29" s="65" t="s">
        <v>298</v>
      </c>
      <c r="B29" s="89"/>
      <c r="C29" s="79">
        <f>253.07*(100-C$2)/100*0.983</f>
        <v>286.08298150000002</v>
      </c>
      <c r="D29" s="79">
        <f>306.8*(100-C$2)/100*0.983</f>
        <v>346.82205999999996</v>
      </c>
      <c r="E29" s="79">
        <f>345.14*(100-C$2)/100*0.983</f>
        <v>390.16351300000002</v>
      </c>
      <c r="F29" s="79">
        <f>403*(100-C$2)/100*0.983</f>
        <v>455.57135</v>
      </c>
      <c r="G29" s="79">
        <f>513.53*(100-C$2)/100*0.983</f>
        <v>580.51998849999995</v>
      </c>
      <c r="H29" s="79">
        <f>710.12*(100-C$2)/100*0.983</f>
        <v>802.75515400000006</v>
      </c>
    </row>
    <row r="30" spans="1:8" x14ac:dyDescent="0.25">
      <c r="A30" s="65" t="s">
        <v>299</v>
      </c>
      <c r="B30" s="89"/>
      <c r="C30" s="79">
        <f>265.55*(100-C$2)/100*0.983</f>
        <v>300.19099749999998</v>
      </c>
      <c r="D30" s="79">
        <f>326.83*(100-C$2)/100*0.983</f>
        <v>369.46497349999999</v>
      </c>
      <c r="E30" s="79">
        <f>362.26*(100-C$2)/100*0.983</f>
        <v>409.516817</v>
      </c>
      <c r="F30" s="79">
        <f>423*(100-C$2)/100*0.983</f>
        <v>478.18034999999998</v>
      </c>
      <c r="G30" s="79">
        <f>539*(100-C$2)/100*0.983</f>
        <v>609.31254999999999</v>
      </c>
      <c r="H30" s="79">
        <f>745.36*(100-C$2)/100*0.983</f>
        <v>842.59221200000013</v>
      </c>
    </row>
    <row r="31" spans="1:8" x14ac:dyDescent="0.25">
      <c r="A31" s="65" t="s">
        <v>300</v>
      </c>
      <c r="B31" s="89"/>
      <c r="C31" s="79">
        <f>272.29*(100-C$2)/100*0.983</f>
        <v>307.81023050000005</v>
      </c>
      <c r="D31" s="79">
        <f>335*(100-C$2)/100*0.983</f>
        <v>378.70074999999997</v>
      </c>
      <c r="E31" s="79">
        <f>370.56*(100-C$2)/100*0.983</f>
        <v>418.89955199999997</v>
      </c>
      <c r="F31" s="79">
        <f>433*(100-C$2)/100*0.983</f>
        <v>489.48484999999999</v>
      </c>
      <c r="G31" s="79">
        <f>551.76*(100-C$2)/100*0.983</f>
        <v>623.73709199999996</v>
      </c>
      <c r="H31" s="79">
        <f>762.98*(100-C$2)/100*0.983</f>
        <v>862.51074100000005</v>
      </c>
    </row>
    <row r="32" spans="1:8" x14ac:dyDescent="0.25">
      <c r="A32" s="65" t="s">
        <v>301</v>
      </c>
      <c r="B32" s="89"/>
      <c r="C32" s="79">
        <f>290.74*(100-C$2)/100*0.983</f>
        <v>328.667033</v>
      </c>
      <c r="D32" s="79">
        <f>352.47*(100-C$2)/100*0.983</f>
        <v>398.44971150000003</v>
      </c>
      <c r="E32" s="79">
        <f>396.51*(100-C$2)/100*0.983</f>
        <v>448.23472950000001</v>
      </c>
      <c r="F32" s="79">
        <f>463*(100-C$2)/100*0.983</f>
        <v>523.39835000000005</v>
      </c>
      <c r="G32" s="79">
        <f>589.99*(100-C$2)/100*0.983</f>
        <v>666.95419550000008</v>
      </c>
      <c r="H32" s="79">
        <f>815.84*(100-C$2)/100*0.983</f>
        <v>922.26632800000004</v>
      </c>
    </row>
    <row r="33" spans="1:8" x14ac:dyDescent="0.25">
      <c r="A33" s="65" t="s">
        <v>302</v>
      </c>
      <c r="B33" s="147"/>
      <c r="C33" s="79">
        <f>315.86*(100-C$2)/100*0.983</f>
        <v>357.06393700000001</v>
      </c>
      <c r="D33" s="79">
        <f>382.9*(100-C$2)/100*0.983</f>
        <v>432.84930499999996</v>
      </c>
      <c r="E33" s="79">
        <f>430.77*(100-C$2)/100*0.983</f>
        <v>486.96394649999996</v>
      </c>
      <c r="F33" s="79">
        <f>503*(100-C$2)/100*0.983</f>
        <v>568.61635000000001</v>
      </c>
      <c r="G33" s="79">
        <f>640.96*(100-C$2)/100*0.983</f>
        <v>724.57323200000008</v>
      </c>
      <c r="H33" s="79">
        <f>886.33*(100-C$2)/100*0.983</f>
        <v>1001.9517485000001</v>
      </c>
    </row>
    <row r="34" spans="1:8" x14ac:dyDescent="0.25">
      <c r="A34" s="65" t="s">
        <v>303</v>
      </c>
      <c r="B34" s="147"/>
      <c r="C34" s="79">
        <f>378.67*(100-C$2)/100*0.983</f>
        <v>428.06750149999999</v>
      </c>
      <c r="D34" s="79">
        <f>459.03*(100-C$2)/100*0.983</f>
        <v>518.91046349999999</v>
      </c>
      <c r="E34" s="79">
        <f>516.41*(100-C$2)/100*0.983</f>
        <v>583.77568450000001</v>
      </c>
      <c r="F34" s="79">
        <f>603*(100-C$2)/100*0.983</f>
        <v>681.66135000000008</v>
      </c>
      <c r="G34" s="79">
        <f>768.39*(100-C$2)/100*0.983</f>
        <v>868.62647549999986</v>
      </c>
      <c r="H34" s="79">
        <f>1062.53*(100-C$2)/100*0.983</f>
        <v>1201.1370385</v>
      </c>
    </row>
    <row r="35" spans="1:8" x14ac:dyDescent="0.25">
      <c r="A35" s="65" t="s">
        <v>304</v>
      </c>
      <c r="B35" s="147"/>
      <c r="C35" s="79">
        <f>441.46*(100-C$2)/100*0.983</f>
        <v>499.04845699999993</v>
      </c>
      <c r="D35" s="79">
        <f>535.16*(100-C$2)/100*0.983</f>
        <v>604.97162199999991</v>
      </c>
      <c r="E35" s="79">
        <f>602.06*(100-C$2)/100*0.983</f>
        <v>680.59872699999994</v>
      </c>
      <c r="F35" s="79">
        <f>703*(100-C$2)/100*0.983</f>
        <v>794.70635000000004</v>
      </c>
      <c r="G35" s="79">
        <f>895.92*(100-C$2)/100*0.983</f>
        <v>1012.792764</v>
      </c>
      <c r="H35" s="79">
        <f>1238.74*(100-C$2)/100*0.983</f>
        <v>1400.3336330000002</v>
      </c>
    </row>
    <row r="36" spans="1:8" x14ac:dyDescent="0.25">
      <c r="A36" s="65" t="s">
        <v>305</v>
      </c>
      <c r="B36" s="147"/>
      <c r="C36" s="79">
        <f>315.86*(100-C$2)/100*0.983</f>
        <v>357.06393700000001</v>
      </c>
      <c r="D36" s="79">
        <f>382.9*(100-C$2)/100*0.983</f>
        <v>432.84930499999996</v>
      </c>
      <c r="E36" s="79">
        <f>430.77*(100-C$2)/100*0.983</f>
        <v>486.96394649999996</v>
      </c>
      <c r="F36" s="79">
        <f>503*(100-C$2)/100*0.983</f>
        <v>568.61635000000001</v>
      </c>
      <c r="G36" s="79">
        <f>640.96*(100-C$2)/100*0.983</f>
        <v>724.57323200000008</v>
      </c>
      <c r="H36" s="79">
        <f>886.33*(100-C$2)/100*0.983</f>
        <v>1001.9517485000001</v>
      </c>
    </row>
    <row r="37" spans="1:8" x14ac:dyDescent="0.25">
      <c r="A37" s="65" t="s">
        <v>306</v>
      </c>
      <c r="B37" s="147"/>
      <c r="C37" s="79">
        <f>328.56*(100-C$2)/100*0.983</f>
        <v>371.42065199999996</v>
      </c>
      <c r="D37" s="79">
        <f>404.1*(100-C$2)/100*0.983</f>
        <v>456.81484499999999</v>
      </c>
      <c r="E37" s="79">
        <f>447.9*(100-C$2)/100*0.983</f>
        <v>506.32855500000005</v>
      </c>
      <c r="F37" s="79">
        <f>523*(100-C$2)/100*0.983</f>
        <v>591.22535000000005</v>
      </c>
      <c r="G37" s="79">
        <f>666.45*(100-C$2)/100*0.983</f>
        <v>753.38840249999998</v>
      </c>
      <c r="H37" s="79">
        <f>921.57*(100-C$2)/100*0.983</f>
        <v>1041.7888065</v>
      </c>
    </row>
    <row r="38" spans="1:8" x14ac:dyDescent="0.25">
      <c r="A38" s="65" t="s">
        <v>307</v>
      </c>
      <c r="B38" s="147"/>
      <c r="C38" s="79">
        <f>334.85*(100-C$2)/100*0.983</f>
        <v>378.5311825</v>
      </c>
      <c r="D38" s="79">
        <f>411.82*(100-C$2)/100*0.983</f>
        <v>465.54191899999995</v>
      </c>
      <c r="E38" s="79">
        <f>456.47*(100-C$2)/100*0.983</f>
        <v>516.01651149999998</v>
      </c>
      <c r="F38" s="79">
        <f>533*(100-C$2)/100*0.983</f>
        <v>602.52985000000001</v>
      </c>
      <c r="G38" s="79">
        <v>679.19</v>
      </c>
      <c r="H38" s="79">
        <f>938.19*(100-C$2)/100*0.983</f>
        <v>1060.5768854999999</v>
      </c>
    </row>
    <row r="39" spans="1:8" x14ac:dyDescent="0.25">
      <c r="A39" s="65" t="s">
        <v>308</v>
      </c>
      <c r="B39" s="147"/>
      <c r="C39" s="79">
        <f>353.55*(100-C$2)/100*0.983</f>
        <v>399.67059749999999</v>
      </c>
      <c r="D39" s="79">
        <f>428.6*(100-C$2)/100*0.983</f>
        <v>484.51086999999995</v>
      </c>
      <c r="E39" s="79">
        <f>482.16*(100-C$2)/100*0.983</f>
        <v>545.057772</v>
      </c>
      <c r="F39" s="79">
        <f>563*(100-C$2)/100*0.983</f>
        <v>636.44335000000001</v>
      </c>
      <c r="G39" s="79">
        <f>717.42*(100-C$2)/100*0.983</f>
        <v>811.00743899999986</v>
      </c>
      <c r="H39" s="79">
        <f>992.05*(100-C$2)/100*0.983</f>
        <v>1121.4629225000001</v>
      </c>
    </row>
    <row r="40" spans="1:8" x14ac:dyDescent="0.25">
      <c r="A40" s="65" t="s">
        <v>309</v>
      </c>
      <c r="B40" s="147"/>
      <c r="C40" s="79">
        <f>378.67*(100-C$2)/100*0.983</f>
        <v>428.06750149999999</v>
      </c>
      <c r="D40" s="79">
        <f>459.03*(100-C$2)/100*0.983</f>
        <v>518.91046349999999</v>
      </c>
      <c r="E40" s="79">
        <f>516.41*(100-C$2)/100*0.983</f>
        <v>583.77568450000001</v>
      </c>
      <c r="F40" s="79">
        <f>603*(100-C$2)/100*0.983</f>
        <v>681.66135000000008</v>
      </c>
      <c r="G40" s="79">
        <f>768.39*(100-C$2)/100*0.983</f>
        <v>868.62647549999986</v>
      </c>
      <c r="H40" s="79">
        <f>1062.53*(100-C$2)/100*0.983</f>
        <v>1201.1370385</v>
      </c>
    </row>
    <row r="41" spans="1:8" x14ac:dyDescent="0.25">
      <c r="A41" s="65" t="s">
        <v>310</v>
      </c>
      <c r="B41" s="147"/>
      <c r="C41" s="90"/>
      <c r="D41" s="79">
        <f>535.16*(100-C$2)/100*0.983</f>
        <v>604.97162199999991</v>
      </c>
      <c r="E41" s="79">
        <f>602.06*(100-C$2)/100*0.983</f>
        <v>680.59872699999994</v>
      </c>
      <c r="F41" s="79">
        <f>703*(100-C$2)/100*0.983</f>
        <v>794.70635000000004</v>
      </c>
      <c r="G41" s="79">
        <f>895.82*(100-C$2)/100*0.983</f>
        <v>1012.679719</v>
      </c>
      <c r="H41" s="79">
        <f>1238.77*(100-C$2)/100*0.983</f>
        <v>1400.3675464999999</v>
      </c>
    </row>
    <row r="42" spans="1:8" x14ac:dyDescent="0.25">
      <c r="A42" s="65" t="s">
        <v>311</v>
      </c>
      <c r="B42" s="90"/>
      <c r="C42" s="90"/>
      <c r="D42" s="79">
        <f>611.28*(100-C$2)/100*0.983</f>
        <v>691.02147600000001</v>
      </c>
      <c r="E42" s="79">
        <f>687.71*(100-C$2)/100*0.983</f>
        <v>777.4217695000001</v>
      </c>
      <c r="F42" s="79">
        <f>803*(100-C$2)/100*0.983</f>
        <v>907.75135</v>
      </c>
      <c r="G42" s="79">
        <f>1023.24*(100-C$2)/100*0.983</f>
        <v>1156.7216580000002</v>
      </c>
      <c r="H42" s="79">
        <f>1414.95*(100-C$2)/100*0.983</f>
        <v>1599.5302275000001</v>
      </c>
    </row>
    <row r="43" spans="1:8" x14ac:dyDescent="0.25">
      <c r="A43" s="65" t="s">
        <v>312</v>
      </c>
      <c r="B43" s="90"/>
      <c r="C43" s="90"/>
      <c r="D43" s="79">
        <f>459.03*(100-C$2)/100*0.983</f>
        <v>518.91046349999999</v>
      </c>
      <c r="E43" s="79">
        <f>516.41*(100-C$2)/100*0.983</f>
        <v>583.77568450000001</v>
      </c>
      <c r="F43" s="79">
        <f>603*(100-C$2)/100*0.983</f>
        <v>681.66135000000008</v>
      </c>
      <c r="G43" s="79">
        <f>768*(100-C$2)/100*0.983</f>
        <v>868.18560000000002</v>
      </c>
      <c r="H43" s="79">
        <f>1062.53*(100-C$2)/100*0.983</f>
        <v>1201.1370385</v>
      </c>
    </row>
    <row r="44" spans="1:8" x14ac:dyDescent="0.25">
      <c r="A44" s="65" t="s">
        <v>313</v>
      </c>
      <c r="B44" s="90"/>
      <c r="C44" s="90"/>
      <c r="D44" s="79">
        <f>474.22*(100-C$2)/100*0.983</f>
        <v>536.08199900000011</v>
      </c>
      <c r="E44" s="79">
        <f>533.55*(100-C$2)/100*0.983</f>
        <v>603.15159749999998</v>
      </c>
      <c r="F44" s="79">
        <f>623*(100-C$2)/100*0.983</f>
        <v>704.27035000000001</v>
      </c>
      <c r="G44" s="79">
        <f>793.87*(100-C$2)/100*0.983</f>
        <v>897.43034150000005</v>
      </c>
      <c r="H44" s="79">
        <f>1097.78*(100-C$2)/100*0.983</f>
        <v>1240.9854009999999</v>
      </c>
    </row>
    <row r="45" spans="1:8" x14ac:dyDescent="0.25">
      <c r="A45" s="65" t="s">
        <v>314</v>
      </c>
      <c r="B45" s="90"/>
      <c r="C45" s="90"/>
      <c r="D45" s="79">
        <f>481.84*(100-C$2)/100*0.983</f>
        <v>544.69602799999996</v>
      </c>
      <c r="E45" s="79">
        <f>542.12*(100-C$2)/100*0.983</f>
        <v>612.83955400000002</v>
      </c>
      <c r="F45" s="79">
        <f>633*(100-C$2)/100*0.983</f>
        <v>715.57485000000008</v>
      </c>
      <c r="G45" s="79">
        <f>806.62*(100-C$2)/100*0.983</f>
        <v>911.84357900000009</v>
      </c>
      <c r="H45" s="79">
        <f>1115.4*(100-C$2)/100*0.983</f>
        <v>1260.9039299999999</v>
      </c>
    </row>
    <row r="46" spans="1:8" x14ac:dyDescent="0.25">
      <c r="A46" s="65" t="s">
        <v>315</v>
      </c>
      <c r="B46" s="90"/>
      <c r="C46" s="90"/>
      <c r="D46" s="79">
        <f>504.8*(100-C$2)/100*0.983</f>
        <v>570.65116</v>
      </c>
      <c r="E46" s="79">
        <f>567.8*(100-C$2)/100*0.983</f>
        <v>641.86950999999988</v>
      </c>
      <c r="F46" s="79">
        <f>663*(100-C$2)/100*0.983</f>
        <v>749.48835000000008</v>
      </c>
      <c r="G46" s="79">
        <f>844.85*(100-C$2)/100*0.983</f>
        <v>955.06068249999998</v>
      </c>
      <c r="H46" s="79">
        <f>1168.26*(100-C$2)/100*0.983</f>
        <v>1320.6595170000001</v>
      </c>
    </row>
    <row r="47" spans="1:8" x14ac:dyDescent="0.25">
      <c r="A47" s="65" t="s">
        <v>316</v>
      </c>
      <c r="B47" s="90"/>
      <c r="C47" s="90"/>
      <c r="D47" s="79">
        <f>535.16*(100-C$2)/100*0.983</f>
        <v>604.97162199999991</v>
      </c>
      <c r="E47" s="79">
        <f>602.06*(100-C$2)/100*0.983</f>
        <v>680.59872699999994</v>
      </c>
      <c r="F47" s="79">
        <f>703*(100-C$2)/100*0.983</f>
        <v>794.70635000000004</v>
      </c>
      <c r="G47" s="79">
        <f>895.82*(100-C$2)/100*0.983</f>
        <v>1012.679719</v>
      </c>
      <c r="H47" s="79">
        <f>1238.74*(100-C$2)/100*0.983</f>
        <v>1400.3336330000002</v>
      </c>
    </row>
    <row r="48" spans="1:8" x14ac:dyDescent="0.25">
      <c r="A48" s="65" t="s">
        <v>317</v>
      </c>
      <c r="B48" s="90"/>
      <c r="C48" s="90"/>
      <c r="D48" s="88"/>
      <c r="E48" s="79">
        <f>687.71*(100-C$2)/100*0.983</f>
        <v>777.4217695000001</v>
      </c>
      <c r="F48" s="79">
        <f>803*(100-C$2)/100*0.983</f>
        <v>907.75135</v>
      </c>
      <c r="G48" s="79">
        <f>1023.24*(100-C$2)/100*0.983</f>
        <v>1156.7216580000002</v>
      </c>
      <c r="H48" s="79">
        <f>1414.95*(100-C$2)/100*0.983</f>
        <v>1599.5302275000001</v>
      </c>
    </row>
    <row r="49" spans="1:8" x14ac:dyDescent="0.25">
      <c r="A49" s="65" t="s">
        <v>318</v>
      </c>
      <c r="B49" s="90"/>
      <c r="C49" s="90"/>
      <c r="D49" s="89"/>
      <c r="E49" s="79">
        <f>773.33*(100-C$2)/100*0.983</f>
        <v>874.2108985000001</v>
      </c>
      <c r="F49" s="79">
        <f>903*(100-C$2)/100*0.983</f>
        <v>1020.7963500000001</v>
      </c>
      <c r="G49" s="79">
        <f>1150.67*(100-C$2)/100*0.983</f>
        <v>1300.7749015000002</v>
      </c>
      <c r="H49" s="79">
        <f>1591.16*(100-C$2)/100*0.983</f>
        <v>1798.7268220000003</v>
      </c>
    </row>
    <row r="50" spans="1:8" x14ac:dyDescent="0.25">
      <c r="A50" s="65" t="s">
        <v>319</v>
      </c>
      <c r="B50" s="90"/>
      <c r="C50" s="90"/>
      <c r="D50" s="89"/>
      <c r="E50" s="79">
        <f>602.06*(100-C$2)/100*0.983</f>
        <v>680.59872699999994</v>
      </c>
      <c r="F50" s="79">
        <f>703*(100-C$2)/100*0.983</f>
        <v>794.70635000000004</v>
      </c>
      <c r="G50" s="79">
        <f>895.82*(100-C$2)/100*0.983</f>
        <v>1012.679719</v>
      </c>
      <c r="H50" s="79">
        <f>1238.94*(100-C$2)/100*0.983</f>
        <v>1400.5597229999998</v>
      </c>
    </row>
    <row r="51" spans="1:8" x14ac:dyDescent="0.25">
      <c r="A51" s="65" t="s">
        <v>320</v>
      </c>
      <c r="B51" s="90"/>
      <c r="C51" s="90"/>
      <c r="D51" s="89"/>
      <c r="E51" s="79">
        <f>653.45*(100-C$2)/100*0.983</f>
        <v>738.69255249999992</v>
      </c>
      <c r="F51" s="79">
        <f>763*(100-C$2)/100*0.983</f>
        <v>862.53335000000004</v>
      </c>
      <c r="G51" s="79">
        <f>972.27*(100-C$2)/100*0.983</f>
        <v>1099.1026214999999</v>
      </c>
      <c r="H51" s="79">
        <f>1344.47*(100-C$2)/100*0.983</f>
        <v>1519.8561115000002</v>
      </c>
    </row>
    <row r="52" spans="1:8" x14ac:dyDescent="0.25">
      <c r="A52" s="65" t="s">
        <v>321</v>
      </c>
      <c r="B52" s="90"/>
      <c r="C52" s="90"/>
      <c r="D52" s="89"/>
      <c r="E52" s="79">
        <f>687.71*(100-C$2)/100*0.983</f>
        <v>777.4217695000001</v>
      </c>
      <c r="F52" s="79">
        <f>803*(100-C$2)/100*0.983</f>
        <v>907.75135</v>
      </c>
      <c r="G52" s="79">
        <f>1023.24*(100-C$2)/100*0.983</f>
        <v>1156.7216580000002</v>
      </c>
      <c r="H52" s="79">
        <f>1414.95*(100-C$2)/100*0.983</f>
        <v>1599.5302275000001</v>
      </c>
    </row>
    <row r="53" spans="1:8" x14ac:dyDescent="0.25">
      <c r="A53" s="65" t="s">
        <v>322</v>
      </c>
      <c r="B53" s="90"/>
      <c r="C53" s="90"/>
      <c r="D53" s="89"/>
      <c r="E53" s="79">
        <f>773.33*(100-C$2)/100*0.983</f>
        <v>874.2108985000001</v>
      </c>
      <c r="F53" s="79">
        <f>903*(100-C$2)/100*0.983</f>
        <v>1020.7963500000001</v>
      </c>
      <c r="G53" s="79">
        <f>1150.67*(100-C$2)/100*0.983</f>
        <v>1300.7749015000002</v>
      </c>
      <c r="H53" s="79">
        <f>1591.16*(100-C$2)/100*0.983</f>
        <v>1798.7268220000003</v>
      </c>
    </row>
    <row r="54" spans="1:8" x14ac:dyDescent="0.25">
      <c r="A54" s="65" t="s">
        <v>323</v>
      </c>
      <c r="B54" s="91"/>
      <c r="C54" s="91"/>
      <c r="D54" s="92"/>
      <c r="E54" s="79">
        <f>859*(100-C$2)/100*0.983</f>
        <v>971.05655000000002</v>
      </c>
      <c r="F54" s="79">
        <f>1003*(100-C$2)/100*0.983</f>
        <v>1133.8413499999999</v>
      </c>
      <c r="G54" s="79">
        <f>1278.1*(100-C$2)/100*0.983</f>
        <v>1444.8281449999999</v>
      </c>
      <c r="H54" s="79">
        <f>1767.36*(100-C$2)/100*0.983</f>
        <v>1997.912112</v>
      </c>
    </row>
  </sheetData>
  <sheetProtection algorithmName="SHA-512" hashValue="tvZ0Nr4eMoYW5iZdGrnWTE3XV4Hh9tAJiBJkBUlNp/eFzaEq1mwgDjMeWmsWRsQETBdMtRrY4nDNJSiXbOB9XA==" saltValue="b/UKw5fJbFV1mTVf9FJl2g==" spinCount="100000" sheet="1" objects="1" scenarios="1"/>
  <mergeCells count="6">
    <mergeCell ref="B33:B41"/>
    <mergeCell ref="B4:H4"/>
    <mergeCell ref="A1:B1"/>
    <mergeCell ref="C1:D1"/>
    <mergeCell ref="B3:H3"/>
    <mergeCell ref="F1:H2"/>
  </mergeCells>
  <hyperlinks>
    <hyperlink ref="I5" location="ГЛАВНАЯ!A1" display="оглавление&gt;&gt;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zoomScale="115" zoomScaleNormal="115" workbookViewId="0">
      <pane xSplit="8" ySplit="5" topLeftCell="I6" activePane="bottomRight" state="frozen"/>
      <selection pane="topRight" activeCell="I1" sqref="I1"/>
      <selection pane="bottomLeft" activeCell="A6" sqref="A6"/>
      <selection pane="bottomRight" activeCell="B4" sqref="B4:H4"/>
    </sheetView>
  </sheetViews>
  <sheetFormatPr defaultRowHeight="15" x14ac:dyDescent="0.25"/>
  <cols>
    <col min="1" max="1" width="25.85546875" customWidth="1"/>
    <col min="2" max="2" width="10.28515625" customWidth="1"/>
    <col min="3" max="3" width="10.140625" customWidth="1"/>
    <col min="4" max="4" width="10" customWidth="1"/>
    <col min="5" max="5" width="10.140625" customWidth="1"/>
    <col min="6" max="6" width="12.42578125" customWidth="1"/>
    <col min="7" max="7" width="15.85546875" customWidth="1"/>
    <col min="8" max="8" width="16.85546875" customWidth="1"/>
    <col min="12" max="12" width="10.85546875" customWidth="1"/>
  </cols>
  <sheetData>
    <row r="1" spans="1:12" ht="45" customHeight="1" x14ac:dyDescent="0.35">
      <c r="A1" s="156"/>
      <c r="B1" s="156"/>
      <c r="C1" s="156"/>
      <c r="D1" s="156"/>
      <c r="E1" s="157" t="s">
        <v>84</v>
      </c>
      <c r="F1" s="157"/>
      <c r="G1" s="140" t="s">
        <v>1019</v>
      </c>
      <c r="H1" s="140"/>
      <c r="I1" s="32"/>
      <c r="J1" s="32"/>
      <c r="K1" s="32"/>
      <c r="L1" s="32"/>
    </row>
    <row r="2" spans="1:12" ht="30.75" customHeight="1" x14ac:dyDescent="0.45">
      <c r="A2" s="37"/>
      <c r="B2" s="94"/>
      <c r="C2" s="94"/>
      <c r="D2" s="37"/>
      <c r="E2" s="86">
        <f>ГЛАВНАЯ!E12</f>
        <v>-15</v>
      </c>
      <c r="F2" s="86"/>
      <c r="G2" s="140"/>
      <c r="H2" s="140"/>
      <c r="I2" s="32"/>
      <c r="J2" s="32"/>
      <c r="K2" s="32"/>
      <c r="L2" s="32"/>
    </row>
    <row r="3" spans="1:12" ht="24.95" customHeight="1" x14ac:dyDescent="0.25">
      <c r="A3" s="78" t="s">
        <v>1021</v>
      </c>
      <c r="B3" s="160" t="s">
        <v>99</v>
      </c>
      <c r="C3" s="160"/>
      <c r="D3" s="160"/>
      <c r="E3" s="160"/>
      <c r="F3" s="160"/>
      <c r="G3" s="160"/>
      <c r="H3" s="160"/>
      <c r="I3" s="32"/>
      <c r="J3" s="32"/>
      <c r="K3" s="32"/>
      <c r="L3" s="32"/>
    </row>
    <row r="4" spans="1:12" ht="20.100000000000001" customHeight="1" x14ac:dyDescent="0.25">
      <c r="A4" s="85" t="s">
        <v>26</v>
      </c>
      <c r="B4" s="153" t="s">
        <v>0</v>
      </c>
      <c r="C4" s="154"/>
      <c r="D4" s="154"/>
      <c r="E4" s="154"/>
      <c r="F4" s="154"/>
      <c r="G4" s="154"/>
      <c r="H4" s="155"/>
    </row>
    <row r="5" spans="1:12" ht="20.100000000000001" customHeight="1" x14ac:dyDescent="0.25">
      <c r="A5" s="85" t="s">
        <v>216</v>
      </c>
      <c r="B5" s="81">
        <v>0.55000000000000004</v>
      </c>
      <c r="C5" s="81">
        <v>0.7</v>
      </c>
      <c r="D5" s="81">
        <v>0.8</v>
      </c>
      <c r="E5" s="81">
        <v>1</v>
      </c>
      <c r="F5" s="81">
        <v>1.2</v>
      </c>
      <c r="G5" s="81">
        <v>1.5</v>
      </c>
      <c r="H5" s="81">
        <v>2</v>
      </c>
      <c r="I5" s="30" t="s">
        <v>1018</v>
      </c>
    </row>
    <row r="6" spans="1:12" ht="15" customHeight="1" x14ac:dyDescent="0.25">
      <c r="A6" s="65" t="s">
        <v>73</v>
      </c>
      <c r="B6" s="93">
        <f>41.55*(100-E$2)/100</f>
        <v>47.782499999999999</v>
      </c>
      <c r="C6" s="93">
        <f>49.11*(100-E$2)/100</f>
        <v>56.476499999999994</v>
      </c>
      <c r="D6" s="93">
        <f>59.54*(100-E$2)/100</f>
        <v>68.470999999999989</v>
      </c>
      <c r="E6" s="93">
        <f>66.96*(100-E$2)/100</f>
        <v>77.003999999999991</v>
      </c>
      <c r="F6" s="93">
        <f>78.3*(100-E$2)/100</f>
        <v>90.045000000000002</v>
      </c>
      <c r="G6" s="93">
        <f>106.77*(100-E$2)/100</f>
        <v>122.7855</v>
      </c>
      <c r="H6" s="93">
        <f>145.05*(100-E$2)/100</f>
        <v>166.8075</v>
      </c>
    </row>
    <row r="7" spans="1:12" ht="15" customHeight="1" x14ac:dyDescent="0.25">
      <c r="A7" s="66" t="s">
        <v>324</v>
      </c>
      <c r="B7" s="93">
        <f>46.74*(100-E$2)/100</f>
        <v>53.751000000000005</v>
      </c>
      <c r="C7" s="93">
        <f>55.25*(100-E$2)/100</f>
        <v>63.537500000000001</v>
      </c>
      <c r="D7" s="93">
        <f>66.96*(100-E$2)/100</f>
        <v>77.003999999999991</v>
      </c>
      <c r="E7" s="93">
        <f>75.34*(100-E$2)/100</f>
        <v>86.641000000000005</v>
      </c>
      <c r="F7" s="93">
        <f>88.07*(100-E$2)/100</f>
        <v>101.28049999999999</v>
      </c>
      <c r="G7" s="93">
        <f>120.11*(100-E$2)/100</f>
        <v>138.12649999999999</v>
      </c>
      <c r="H7" s="93">
        <f>163.16*(100-E$2)/100</f>
        <v>187.63399999999999</v>
      </c>
    </row>
    <row r="8" spans="1:12" ht="15" customHeight="1" x14ac:dyDescent="0.25">
      <c r="A8" s="65" t="s">
        <v>74</v>
      </c>
      <c r="B8" s="93">
        <f>67.52*(100-E$2)/100</f>
        <v>77.647999999999996</v>
      </c>
      <c r="C8" s="93">
        <f>79.8*(100-E$2)/100</f>
        <v>91.77</v>
      </c>
      <c r="D8" s="93">
        <f>96.73*(100-E$2)/100</f>
        <v>111.23950000000001</v>
      </c>
      <c r="E8" s="93">
        <f>108.82*(100-E$2)/100</f>
        <v>125.14299999999999</v>
      </c>
      <c r="F8" s="93">
        <f>127.33*(100-E$2)/100</f>
        <v>146.42949999999999</v>
      </c>
      <c r="G8" s="93">
        <f>173.49*(100-E$2)/100</f>
        <v>199.51350000000002</v>
      </c>
      <c r="H8" s="93">
        <f>235.7*(100-E$2)/100</f>
        <v>271.05500000000001</v>
      </c>
    </row>
    <row r="9" spans="1:12" ht="15" customHeight="1" x14ac:dyDescent="0.25">
      <c r="A9" s="65" t="s">
        <v>75</v>
      </c>
      <c r="B9" s="93">
        <f>93.48*(100-E$2)/100</f>
        <v>107.50200000000001</v>
      </c>
      <c r="C9" s="93">
        <f>110.48*(100-E$2)/100</f>
        <v>127.05200000000001</v>
      </c>
      <c r="D9" s="93">
        <f>133.93*(100-E$2)/100</f>
        <v>154.01949999999999</v>
      </c>
      <c r="E9" s="93">
        <f>150.68*(100-E$2)/100</f>
        <v>173.28200000000001</v>
      </c>
      <c r="F9" s="93">
        <f>176.3*(100-E$2)/100</f>
        <v>202.745</v>
      </c>
      <c r="G9" s="93">
        <f>240.2*(100-E$2)/100</f>
        <v>276.23</v>
      </c>
      <c r="H9" s="93">
        <f>326.33*(100-E$2)/100</f>
        <v>375.27949999999998</v>
      </c>
    </row>
    <row r="10" spans="1:12" ht="15" customHeight="1" x14ac:dyDescent="0.25">
      <c r="A10" s="65" t="s">
        <v>76</v>
      </c>
      <c r="B10" s="93">
        <f>119.45*(100-E$2)/100</f>
        <v>137.36750000000001</v>
      </c>
      <c r="C10" s="93">
        <f>141.17*(100-E$2)/100</f>
        <v>162.34549999999999</v>
      </c>
      <c r="D10" s="93">
        <f>171.14*(100-E$2)/100</f>
        <v>196.81099999999998</v>
      </c>
      <c r="E10" s="93">
        <f>192.54*(100-E$2)/100</f>
        <v>221.42099999999999</v>
      </c>
      <c r="F10" s="93">
        <f>225.09*(100-E$2)/100</f>
        <v>258.8535</v>
      </c>
      <c r="G10" s="93">
        <f>306.92*(100-E$2)/100</f>
        <v>352.95800000000003</v>
      </c>
      <c r="H10" s="93">
        <f>416.98*(100-E$2)/100</f>
        <v>479.52700000000004</v>
      </c>
    </row>
    <row r="11" spans="1:12" ht="15" customHeight="1" x14ac:dyDescent="0.25">
      <c r="A11" s="65" t="s">
        <v>77</v>
      </c>
      <c r="B11" s="93">
        <f>145.42*(100-E$2)/100</f>
        <v>167.233</v>
      </c>
      <c r="C11" s="93">
        <f>171.87*(100-E$2)/100</f>
        <v>197.65049999999999</v>
      </c>
      <c r="D11" s="93">
        <f>208.34*(100-E$2)/100</f>
        <v>239.59100000000001</v>
      </c>
      <c r="E11" s="93">
        <f>234.39*(100-E$2)/100</f>
        <v>269.54849999999999</v>
      </c>
      <c r="F11" s="93">
        <f>274.02*(100-E$2)/100</f>
        <v>315.12299999999999</v>
      </c>
      <c r="G11" s="93">
        <f>373.64*(100-E$2)/100</f>
        <v>429.68599999999998</v>
      </c>
      <c r="H11" s="93">
        <f>507.62*(100-E$2)/100</f>
        <v>583.76300000000003</v>
      </c>
    </row>
    <row r="12" spans="1:12" ht="15" customHeight="1" x14ac:dyDescent="0.25">
      <c r="A12" s="65" t="s">
        <v>78</v>
      </c>
      <c r="B12" s="93">
        <f>171.39*(100-E$2)/100</f>
        <v>197.09849999999997</v>
      </c>
      <c r="C12" s="93">
        <f>202.55*(100-E$2)/100</f>
        <v>232.9325</v>
      </c>
      <c r="D12" s="93">
        <f>240.55*(100-E$2)/100</f>
        <v>276.63249999999999</v>
      </c>
      <c r="E12" s="93">
        <f>276.24*(100-E$2)/100</f>
        <v>317.67600000000004</v>
      </c>
      <c r="F12" s="93">
        <f>322.95*(100-E$2)/100</f>
        <v>371.39249999999998</v>
      </c>
      <c r="G12" s="93">
        <f>440.39*(100-E$2)/100</f>
        <v>506.44849999999997</v>
      </c>
      <c r="H12" s="93">
        <f>598.29*(100-E$2)/100</f>
        <v>688.03349999999989</v>
      </c>
    </row>
    <row r="13" spans="1:12" ht="15" customHeight="1" x14ac:dyDescent="0.25">
      <c r="A13" s="65" t="s">
        <v>79</v>
      </c>
      <c r="B13" s="93">
        <f>223.32*(100-E$2)/100</f>
        <v>256.81799999999998</v>
      </c>
      <c r="C13" s="93">
        <f>263.94*(100-E$2)/100</f>
        <v>303.53100000000001</v>
      </c>
      <c r="D13" s="93">
        <f>319.96*(100-E$2)/100</f>
        <v>367.95399999999995</v>
      </c>
      <c r="E13" s="93">
        <f>359.94*(100-E$2)/100</f>
        <v>413.93099999999998</v>
      </c>
      <c r="F13" s="93">
        <f>420.81*(100-E$2)/100</f>
        <v>483.93150000000003</v>
      </c>
      <c r="G13" s="93">
        <f>573.83*(100-E$2)/100</f>
        <v>659.9045000000001</v>
      </c>
      <c r="H13" s="93">
        <f>779.58*(100-E$2)/100</f>
        <v>896.51700000000017</v>
      </c>
    </row>
    <row r="14" spans="1:12" ht="15" customHeight="1" x14ac:dyDescent="0.25">
      <c r="A14" s="65" t="s">
        <v>80</v>
      </c>
      <c r="B14" s="107"/>
      <c r="C14" s="93">
        <f>325.33*(100-E$2)/100</f>
        <v>374.12949999999995</v>
      </c>
      <c r="D14" s="93">
        <f>394.37*(100-E$2)/100</f>
        <v>453.52550000000002</v>
      </c>
      <c r="E14" s="93">
        <f>443.66*(100-E$2)/100</f>
        <v>510.209</v>
      </c>
      <c r="F14" s="93">
        <f>518.7*(100-E$2)/100</f>
        <v>596.50500000000011</v>
      </c>
      <c r="G14" s="93">
        <f>707.27*(100-E$2)/100</f>
        <v>813.3605</v>
      </c>
      <c r="H14" s="93">
        <f>960.87*(100-E$2)/100</f>
        <v>1105.0005000000001</v>
      </c>
    </row>
    <row r="15" spans="1:12" ht="15" customHeight="1" x14ac:dyDescent="0.25">
      <c r="A15" s="65" t="s">
        <v>81</v>
      </c>
      <c r="B15" s="108"/>
      <c r="C15" s="93">
        <f>386.71*(100-E$2)/100</f>
        <v>444.71649999999994</v>
      </c>
      <c r="D15" s="93">
        <f>468.73*(100-E$2)/100</f>
        <v>539.03950000000009</v>
      </c>
      <c r="E15" s="93">
        <f>527.37*(100-E$2)/100</f>
        <v>606.47550000000001</v>
      </c>
      <c r="F15" s="93">
        <f>616.53*(100-E$2)/100</f>
        <v>709.0095</v>
      </c>
      <c r="G15" s="93">
        <f>836.73*(100-E$2)/100</f>
        <v>962.23950000000002</v>
      </c>
      <c r="H15" s="93">
        <f>1142.19*(100-E$2)/100</f>
        <v>1313.5185000000001</v>
      </c>
    </row>
  </sheetData>
  <sheetProtection algorithmName="SHA-512" hashValue="Fs2zx6zdQR/Fpv2BomIIHKsLd8xCcesm+SGifhIDxNCINi/LgIfwh4FR9rk1JAcRzfa5PR5RwWabdivqGhxukg==" saltValue="kKjk9PAnXAuZrfX2Mj9onA==" spinCount="100000" sheet="1" objects="1" scenarios="1"/>
  <mergeCells count="5">
    <mergeCell ref="B4:H4"/>
    <mergeCell ref="A1:D1"/>
    <mergeCell ref="E1:F1"/>
    <mergeCell ref="B3:H3"/>
    <mergeCell ref="G1:H2"/>
  </mergeCells>
  <hyperlinks>
    <hyperlink ref="I5" location="ГЛАВНАЯ!A1" display="оглавление&gt;&gt;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zoomScale="115" zoomScaleNormal="11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4" sqref="A4:C4"/>
    </sheetView>
  </sheetViews>
  <sheetFormatPr defaultRowHeight="15" x14ac:dyDescent="0.25"/>
  <cols>
    <col min="1" max="1" width="42.28515625" customWidth="1"/>
    <col min="2" max="2" width="11.140625" style="6" customWidth="1"/>
    <col min="3" max="3" width="23.28515625" style="3" customWidth="1"/>
    <col min="7" max="7" width="4.42578125" customWidth="1"/>
  </cols>
  <sheetData>
    <row r="1" spans="1:9" ht="58.5" customHeight="1" x14ac:dyDescent="0.35">
      <c r="A1" s="156"/>
      <c r="B1" s="156"/>
      <c r="C1" s="97" t="s">
        <v>84</v>
      </c>
      <c r="D1" s="140" t="s">
        <v>1019</v>
      </c>
      <c r="E1" s="140"/>
      <c r="F1" s="140"/>
      <c r="G1" s="140"/>
      <c r="H1" s="31"/>
    </row>
    <row r="2" spans="1:9" ht="16.5" customHeight="1" x14ac:dyDescent="0.45">
      <c r="A2" s="98"/>
      <c r="B2" s="38"/>
      <c r="C2" s="86">
        <f>ГЛАВНАЯ!E12</f>
        <v>-15</v>
      </c>
      <c r="D2" s="140"/>
      <c r="E2" s="140"/>
      <c r="F2" s="140"/>
      <c r="G2" s="140"/>
      <c r="H2" s="31"/>
    </row>
    <row r="3" spans="1:9" ht="24.95" customHeight="1" x14ac:dyDescent="0.25">
      <c r="A3" s="109" t="s">
        <v>1021</v>
      </c>
      <c r="B3" s="163" t="s">
        <v>96</v>
      </c>
      <c r="C3" s="163"/>
      <c r="D3" s="30" t="s">
        <v>1018</v>
      </c>
    </row>
    <row r="4" spans="1:9" ht="20.100000000000001" customHeight="1" x14ac:dyDescent="0.25">
      <c r="A4" s="161" t="s">
        <v>98</v>
      </c>
      <c r="B4" s="162"/>
      <c r="C4" s="162"/>
    </row>
    <row r="5" spans="1:9" ht="15" customHeight="1" x14ac:dyDescent="0.25">
      <c r="A5" s="95" t="s">
        <v>85</v>
      </c>
      <c r="B5" s="96">
        <f>71.4*(100-C$2)/100</f>
        <v>82.11</v>
      </c>
      <c r="C5" s="164"/>
    </row>
    <row r="6" spans="1:9" ht="15" customHeight="1" x14ac:dyDescent="0.25">
      <c r="A6" s="95" t="s">
        <v>86</v>
      </c>
      <c r="B6" s="96">
        <f>104.72*(100-C$2)/100</f>
        <v>120.428</v>
      </c>
      <c r="C6" s="165"/>
    </row>
    <row r="7" spans="1:9" ht="15" customHeight="1" x14ac:dyDescent="0.25">
      <c r="A7" s="95" t="s">
        <v>87</v>
      </c>
      <c r="B7" s="96">
        <f>139.74*(100-C$2)/100</f>
        <v>160.70099999999999</v>
      </c>
      <c r="C7" s="165"/>
    </row>
    <row r="8" spans="1:9" ht="15" customHeight="1" x14ac:dyDescent="0.25">
      <c r="A8" s="95" t="s">
        <v>88</v>
      </c>
      <c r="B8" s="96">
        <f>207.4*(100-C$2)/100</f>
        <v>238.51</v>
      </c>
      <c r="C8" s="165"/>
      <c r="F8" s="32"/>
      <c r="G8" s="32"/>
      <c r="H8" s="32"/>
      <c r="I8" s="32"/>
    </row>
    <row r="9" spans="1:9" ht="15" customHeight="1" x14ac:dyDescent="0.25">
      <c r="A9" s="95" t="s">
        <v>89</v>
      </c>
      <c r="B9" s="96">
        <f>306*(100-C$2)/100</f>
        <v>351.9</v>
      </c>
      <c r="C9" s="165"/>
      <c r="F9" s="32"/>
      <c r="G9" s="32"/>
      <c r="H9" s="32"/>
      <c r="I9" s="32"/>
    </row>
    <row r="10" spans="1:9" ht="17.25" customHeight="1" x14ac:dyDescent="0.25">
      <c r="A10" s="95" t="s">
        <v>90</v>
      </c>
      <c r="B10" s="96">
        <f>372.3*(100-C$2)/100</f>
        <v>428.14499999999998</v>
      </c>
      <c r="C10" s="166"/>
      <c r="F10" s="32"/>
      <c r="G10" s="32"/>
      <c r="H10" s="32"/>
      <c r="I10" s="32"/>
    </row>
    <row r="11" spans="1:9" ht="20.100000000000001" customHeight="1" x14ac:dyDescent="0.25">
      <c r="A11" s="161" t="s">
        <v>1</v>
      </c>
      <c r="B11" s="162"/>
      <c r="C11" s="162"/>
    </row>
    <row r="12" spans="1:9" ht="18" customHeight="1" x14ac:dyDescent="0.25">
      <c r="A12" s="95" t="s">
        <v>91</v>
      </c>
      <c r="B12" s="96">
        <f>31.11*(100-C$2)/100</f>
        <v>35.776499999999999</v>
      </c>
      <c r="C12" s="164"/>
    </row>
    <row r="13" spans="1:9" ht="18" customHeight="1" x14ac:dyDescent="0.25">
      <c r="A13" s="95" t="s">
        <v>92</v>
      </c>
      <c r="B13" s="96">
        <f>43.01*(100-C$2)/100</f>
        <v>49.461499999999994</v>
      </c>
      <c r="C13" s="165"/>
    </row>
    <row r="14" spans="1:9" ht="18" customHeight="1" x14ac:dyDescent="0.25">
      <c r="A14" s="95" t="s">
        <v>93</v>
      </c>
      <c r="B14" s="96">
        <f>56.1*(100-C$2)/100</f>
        <v>64.515000000000001</v>
      </c>
      <c r="C14" s="165"/>
    </row>
    <row r="15" spans="1:9" ht="18" customHeight="1" x14ac:dyDescent="0.25">
      <c r="A15" s="95" t="s">
        <v>94</v>
      </c>
      <c r="B15" s="96">
        <f>76.5*(100-C$2)/100</f>
        <v>87.974999999999994</v>
      </c>
      <c r="C15" s="165"/>
    </row>
    <row r="16" spans="1:9" ht="18" customHeight="1" x14ac:dyDescent="0.25">
      <c r="A16" s="95" t="s">
        <v>97</v>
      </c>
      <c r="B16" s="96">
        <f>138.21*(100-C$2)/100</f>
        <v>158.94150000000002</v>
      </c>
      <c r="C16" s="166"/>
    </row>
    <row r="17" spans="1:3" ht="20.100000000000001" customHeight="1" x14ac:dyDescent="0.25">
      <c r="A17" s="161" t="s">
        <v>2</v>
      </c>
      <c r="B17" s="162"/>
      <c r="C17" s="162"/>
    </row>
    <row r="18" spans="1:3" ht="84.75" customHeight="1" x14ac:dyDescent="0.45">
      <c r="A18" s="95" t="s">
        <v>95</v>
      </c>
      <c r="B18" s="96">
        <f>17*(100-C$2)/100</f>
        <v>19.55</v>
      </c>
      <c r="C18" s="126"/>
    </row>
    <row r="19" spans="1:3" ht="20.100000000000001" customHeight="1" x14ac:dyDescent="0.25">
      <c r="A19" s="161" t="s">
        <v>327</v>
      </c>
      <c r="B19" s="162"/>
      <c r="C19" s="162"/>
    </row>
    <row r="20" spans="1:3" x14ac:dyDescent="0.25">
      <c r="A20" s="99" t="s">
        <v>328</v>
      </c>
      <c r="B20" s="96">
        <f t="shared" ref="B20" si="0">17*(100-C$2)/100</f>
        <v>19.55</v>
      </c>
      <c r="C20" s="125"/>
    </row>
  </sheetData>
  <sheetProtection algorithmName="SHA-512" hashValue="CdlEP0l/tVP6dq1XEDOBymtrx5hwKISaiXUQ+MlaZwNLe2S+7v48oDGA4tsWswRInbvDqhL/crRaRSrSF/cB5A==" saltValue="ka4Ya/kkB9duBjcTbLocbg==" spinCount="100000" sheet="1" objects="1" scenarios="1"/>
  <mergeCells count="9">
    <mergeCell ref="A11:C11"/>
    <mergeCell ref="A17:C17"/>
    <mergeCell ref="A19:C19"/>
    <mergeCell ref="B3:C3"/>
    <mergeCell ref="D1:G2"/>
    <mergeCell ref="C12:C16"/>
    <mergeCell ref="C5:C10"/>
    <mergeCell ref="A1:B1"/>
    <mergeCell ref="A4:C4"/>
  </mergeCells>
  <hyperlinks>
    <hyperlink ref="D3" location="ГЛАВНАЯ!A1" display="оглавление&gt;&gt;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zoomScale="115" zoomScaleNormal="11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4" sqref="A4:C4"/>
    </sheetView>
  </sheetViews>
  <sheetFormatPr defaultRowHeight="15" x14ac:dyDescent="0.25"/>
  <cols>
    <col min="1" max="1" width="44.7109375" customWidth="1"/>
    <col min="2" max="2" width="12.7109375" style="16" customWidth="1"/>
    <col min="3" max="3" width="26.28515625" customWidth="1"/>
    <col min="7" max="7" width="4.85546875" customWidth="1"/>
  </cols>
  <sheetData>
    <row r="1" spans="1:7" ht="57" customHeight="1" x14ac:dyDescent="0.35">
      <c r="A1" s="174"/>
      <c r="B1" s="174"/>
      <c r="C1" s="100" t="s">
        <v>84</v>
      </c>
      <c r="D1" s="140" t="s">
        <v>1019</v>
      </c>
      <c r="E1" s="140"/>
      <c r="F1" s="140"/>
      <c r="G1" s="140"/>
    </row>
    <row r="2" spans="1:7" ht="18" customHeight="1" x14ac:dyDescent="0.45">
      <c r="A2" s="104"/>
      <c r="B2" s="102"/>
      <c r="C2" s="86">
        <f>ГЛАВНАЯ!E12</f>
        <v>-15</v>
      </c>
      <c r="D2" s="140"/>
      <c r="E2" s="140"/>
      <c r="F2" s="140"/>
      <c r="G2" s="140"/>
    </row>
    <row r="3" spans="1:7" ht="24.95" customHeight="1" x14ac:dyDescent="0.25">
      <c r="A3" s="78" t="s">
        <v>1021</v>
      </c>
      <c r="B3" s="78" t="s">
        <v>99</v>
      </c>
      <c r="C3" s="106"/>
      <c r="D3" s="30" t="s">
        <v>1018</v>
      </c>
    </row>
    <row r="4" spans="1:7" ht="20.100000000000001" customHeight="1" x14ac:dyDescent="0.25">
      <c r="A4" s="175" t="s">
        <v>100</v>
      </c>
      <c r="B4" s="176"/>
      <c r="C4" s="169"/>
    </row>
    <row r="5" spans="1:7" ht="23.1" customHeight="1" x14ac:dyDescent="0.25">
      <c r="A5" s="95" t="s">
        <v>29</v>
      </c>
      <c r="B5" s="127">
        <f>158*(100-C$2)/100</f>
        <v>181.7</v>
      </c>
      <c r="C5" s="170"/>
    </row>
    <row r="6" spans="1:7" ht="23.1" customHeight="1" x14ac:dyDescent="0.25">
      <c r="A6" s="95" t="s">
        <v>30</v>
      </c>
      <c r="B6" s="127">
        <f>185*(100-C$2)/100</f>
        <v>212.75</v>
      </c>
      <c r="C6" s="171"/>
    </row>
    <row r="7" spans="1:7" ht="23.1" customHeight="1" x14ac:dyDescent="0.25">
      <c r="A7" s="95" t="s">
        <v>113</v>
      </c>
      <c r="B7" s="127">
        <f>124*(100-C$2)/100</f>
        <v>142.6</v>
      </c>
      <c r="C7" s="172"/>
    </row>
    <row r="8" spans="1:7" ht="20.100000000000001" customHeight="1" x14ac:dyDescent="0.25">
      <c r="A8" s="167" t="s">
        <v>101</v>
      </c>
      <c r="B8" s="168"/>
      <c r="C8" s="169"/>
    </row>
    <row r="9" spans="1:7" x14ac:dyDescent="0.25">
      <c r="A9" s="95" t="s">
        <v>31</v>
      </c>
      <c r="B9" s="127">
        <f>293*(100-C$2)/100</f>
        <v>336.95</v>
      </c>
      <c r="C9" s="170"/>
    </row>
    <row r="10" spans="1:7" x14ac:dyDescent="0.25">
      <c r="A10" s="95" t="s">
        <v>32</v>
      </c>
      <c r="B10" s="127">
        <f>223*(100-C$2)/100</f>
        <v>256.45</v>
      </c>
      <c r="C10" s="171"/>
    </row>
    <row r="11" spans="1:7" x14ac:dyDescent="0.25">
      <c r="A11" s="95" t="s">
        <v>33</v>
      </c>
      <c r="B11" s="127">
        <f>223*(100-C$2)/100</f>
        <v>256.45</v>
      </c>
      <c r="C11" s="171"/>
    </row>
    <row r="12" spans="1:7" x14ac:dyDescent="0.25">
      <c r="A12" s="95" t="s">
        <v>34</v>
      </c>
      <c r="B12" s="127">
        <f>123*(100-C$2)/100</f>
        <v>141.44999999999999</v>
      </c>
      <c r="C12" s="171"/>
    </row>
    <row r="13" spans="1:7" x14ac:dyDescent="0.25">
      <c r="A13" s="95" t="s">
        <v>104</v>
      </c>
      <c r="B13" s="127">
        <f>156.6*(100-C$2)/100</f>
        <v>180.09</v>
      </c>
      <c r="C13" s="171"/>
    </row>
    <row r="14" spans="1:7" x14ac:dyDescent="0.25">
      <c r="A14" s="95" t="s">
        <v>105</v>
      </c>
      <c r="B14" s="127">
        <f>215*(100-C$2)/100</f>
        <v>247.25</v>
      </c>
      <c r="C14" s="172"/>
    </row>
    <row r="15" spans="1:7" ht="20.100000000000001" customHeight="1" x14ac:dyDescent="0.25">
      <c r="A15" s="167" t="s">
        <v>102</v>
      </c>
      <c r="B15" s="168"/>
      <c r="C15" s="169"/>
    </row>
    <row r="16" spans="1:7" ht="23.1" customHeight="1" x14ac:dyDescent="0.25">
      <c r="A16" s="95" t="s">
        <v>27</v>
      </c>
      <c r="B16" s="127">
        <f>252*(100-C$2)/100</f>
        <v>289.8</v>
      </c>
      <c r="C16" s="170"/>
    </row>
    <row r="17" spans="1:9" ht="23.1" customHeight="1" x14ac:dyDescent="0.35">
      <c r="A17" s="95" t="s">
        <v>28</v>
      </c>
      <c r="B17" s="127">
        <f>183*(100-C$2)/100</f>
        <v>210.45</v>
      </c>
      <c r="C17" s="171"/>
      <c r="G17" s="177"/>
      <c r="H17" s="177"/>
      <c r="I17" s="7"/>
    </row>
    <row r="18" spans="1:9" ht="23.1" customHeight="1" x14ac:dyDescent="0.35">
      <c r="A18" s="95" t="s">
        <v>106</v>
      </c>
      <c r="B18" s="127">
        <f>167*(100-C$2)/100</f>
        <v>192.05</v>
      </c>
      <c r="C18" s="172"/>
      <c r="G18" s="5"/>
      <c r="H18" s="5"/>
      <c r="I18" s="7"/>
    </row>
    <row r="19" spans="1:9" ht="20.100000000000001" customHeight="1" x14ac:dyDescent="0.25">
      <c r="A19" s="167" t="s">
        <v>103</v>
      </c>
      <c r="B19" s="168"/>
      <c r="C19" s="169"/>
      <c r="G19" s="8"/>
      <c r="H19" s="178"/>
      <c r="I19" s="173"/>
    </row>
    <row r="20" spans="1:9" ht="24.95" customHeight="1" x14ac:dyDescent="0.25">
      <c r="A20" s="95" t="s">
        <v>325</v>
      </c>
      <c r="B20" s="127">
        <f>75*(100-C$2)/100</f>
        <v>86.25</v>
      </c>
      <c r="C20" s="170"/>
      <c r="H20" s="178"/>
      <c r="I20" s="173"/>
    </row>
    <row r="21" spans="1:9" ht="24.95" customHeight="1" x14ac:dyDescent="0.25">
      <c r="A21" s="95" t="s">
        <v>326</v>
      </c>
      <c r="B21" s="127">
        <f>57*(100-C$2)/100</f>
        <v>65.55</v>
      </c>
      <c r="C21" s="172"/>
    </row>
    <row r="22" spans="1:9" ht="20.100000000000001" customHeight="1" x14ac:dyDescent="0.25">
      <c r="A22" s="167" t="s">
        <v>108</v>
      </c>
      <c r="B22" s="168"/>
      <c r="C22" s="169"/>
    </row>
    <row r="23" spans="1:9" x14ac:dyDescent="0.25">
      <c r="A23" s="99" t="s">
        <v>114</v>
      </c>
      <c r="B23" s="127">
        <f>50.5*(100-C$2)/100</f>
        <v>58.075000000000003</v>
      </c>
      <c r="C23" s="170"/>
    </row>
    <row r="24" spans="1:9" x14ac:dyDescent="0.25">
      <c r="A24" s="99" t="s">
        <v>107</v>
      </c>
      <c r="B24" s="127">
        <f>86.8*(100-C$2)/100</f>
        <v>99.82</v>
      </c>
      <c r="C24" s="171"/>
    </row>
    <row r="25" spans="1:9" x14ac:dyDescent="0.25">
      <c r="A25" s="99" t="s">
        <v>109</v>
      </c>
      <c r="B25" s="127">
        <f>73.7*(100-C$2)/100</f>
        <v>84.754999999999995</v>
      </c>
      <c r="C25" s="171"/>
    </row>
    <row r="26" spans="1:9" x14ac:dyDescent="0.25">
      <c r="A26" s="99" t="s">
        <v>110</v>
      </c>
      <c r="B26" s="127">
        <f>64.5*(100-C$2)/100</f>
        <v>74.174999999999997</v>
      </c>
      <c r="C26" s="171"/>
    </row>
    <row r="27" spans="1:9" x14ac:dyDescent="0.25">
      <c r="A27" s="99" t="s">
        <v>111</v>
      </c>
      <c r="B27" s="127">
        <f>132.52*(100-C$2)/100</f>
        <v>152.39800000000002</v>
      </c>
      <c r="C27" s="171"/>
    </row>
    <row r="28" spans="1:9" x14ac:dyDescent="0.25">
      <c r="A28" s="99" t="s">
        <v>112</v>
      </c>
      <c r="B28" s="127">
        <f>167*(100-C$2)/100</f>
        <v>192.05</v>
      </c>
      <c r="C28" s="172"/>
    </row>
  </sheetData>
  <sheetProtection algorithmName="SHA-512" hashValue="20P2ryUFJ+VWyK8QVY3wPUgyeTjy5WvsOlknKZtR8Tdl1CsJA/2wYipHRfXlNQ+w5fbqjOPwrsXoBqCkW4zeZA==" saltValue="oNhlagD5Ex9put3jwN0+1w==" spinCount="100000" sheet="1" objects="1" scenarios="1"/>
  <mergeCells count="15">
    <mergeCell ref="A22:C22"/>
    <mergeCell ref="C23:C28"/>
    <mergeCell ref="I19:I20"/>
    <mergeCell ref="A1:B1"/>
    <mergeCell ref="A4:C4"/>
    <mergeCell ref="A8:C8"/>
    <mergeCell ref="A15:C15"/>
    <mergeCell ref="A19:C19"/>
    <mergeCell ref="C20:C21"/>
    <mergeCell ref="C16:C18"/>
    <mergeCell ref="C9:C14"/>
    <mergeCell ref="C5:C7"/>
    <mergeCell ref="D1:G2"/>
    <mergeCell ref="G17:H17"/>
    <mergeCell ref="H19:H20"/>
  </mergeCells>
  <hyperlinks>
    <hyperlink ref="D3" location="ГЛАВНАЯ!A1" display="оглавление&gt;&gt;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90"/>
  <sheetViews>
    <sheetView zoomScale="115" zoomScaleNormal="11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4" sqref="B4:E4"/>
    </sheetView>
  </sheetViews>
  <sheetFormatPr defaultRowHeight="15" outlineLevelRow="1" x14ac:dyDescent="0.25"/>
  <cols>
    <col min="1" max="1" width="49.7109375" customWidth="1"/>
    <col min="2" max="2" width="10.28515625" style="16" customWidth="1"/>
    <col min="3" max="3" width="8.28515625" style="16" customWidth="1"/>
    <col min="4" max="4" width="7.42578125" style="16" customWidth="1"/>
    <col min="5" max="5" width="9.5703125" style="16" customWidth="1"/>
    <col min="8" max="8" width="11.140625" customWidth="1"/>
    <col min="9" max="9" width="8.140625" customWidth="1"/>
  </cols>
  <sheetData>
    <row r="1" spans="1:9" ht="54.75" customHeight="1" x14ac:dyDescent="0.35">
      <c r="A1" s="179"/>
      <c r="B1" s="179"/>
      <c r="C1" s="131" t="s">
        <v>84</v>
      </c>
      <c r="D1" s="131"/>
      <c r="E1" s="130"/>
      <c r="F1" s="140" t="s">
        <v>1019</v>
      </c>
      <c r="G1" s="140"/>
      <c r="H1" s="140"/>
      <c r="I1" s="101"/>
    </row>
    <row r="2" spans="1:9" ht="22.5" customHeight="1" x14ac:dyDescent="0.45">
      <c r="A2" s="128"/>
      <c r="B2" s="129"/>
      <c r="C2" s="86">
        <f>10+ГЛАВНАЯ!E12</f>
        <v>-5</v>
      </c>
      <c r="D2" s="86"/>
      <c r="E2" s="130"/>
      <c r="F2" s="140"/>
      <c r="G2" s="140"/>
      <c r="H2" s="140"/>
      <c r="I2" s="101"/>
    </row>
    <row r="3" spans="1:9" ht="24.95" customHeight="1" x14ac:dyDescent="0.25">
      <c r="A3" s="78" t="s">
        <v>1021</v>
      </c>
      <c r="B3" s="158" t="s">
        <v>99</v>
      </c>
      <c r="C3" s="158"/>
      <c r="D3" s="158"/>
      <c r="E3" s="158"/>
      <c r="F3" s="33" t="s">
        <v>1018</v>
      </c>
    </row>
    <row r="4" spans="1:9" ht="20.100000000000001" customHeight="1" x14ac:dyDescent="0.25">
      <c r="A4" s="85" t="s">
        <v>26</v>
      </c>
      <c r="B4" s="153" t="s">
        <v>0</v>
      </c>
      <c r="C4" s="154"/>
      <c r="D4" s="154"/>
      <c r="E4" s="155"/>
    </row>
    <row r="5" spans="1:9" ht="20.100000000000001" customHeight="1" outlineLevel="1" x14ac:dyDescent="0.25">
      <c r="A5" s="85" t="s">
        <v>948</v>
      </c>
      <c r="B5" s="81">
        <v>0.55000000000000004</v>
      </c>
      <c r="C5" s="81">
        <v>0.7</v>
      </c>
      <c r="D5" s="81">
        <v>0.8</v>
      </c>
      <c r="E5" s="81">
        <v>1</v>
      </c>
    </row>
    <row r="6" spans="1:9" ht="15" customHeight="1" outlineLevel="1" x14ac:dyDescent="0.25">
      <c r="A6" s="9" t="s">
        <v>329</v>
      </c>
      <c r="B6" s="35">
        <f>C6*0.97</f>
        <v>281.10599999999999</v>
      </c>
      <c r="C6" s="35">
        <f>276*(100-C$2)/100</f>
        <v>289.8</v>
      </c>
      <c r="D6" s="35">
        <f>C6*1.1</f>
        <v>318.78000000000003</v>
      </c>
      <c r="E6" s="35">
        <f>C6*1.15</f>
        <v>333.27</v>
      </c>
    </row>
    <row r="7" spans="1:9" ht="15" customHeight="1" outlineLevel="1" x14ac:dyDescent="0.25">
      <c r="A7" s="11" t="s">
        <v>330</v>
      </c>
      <c r="B7" s="35">
        <f t="shared" ref="B7:B69" si="0">C7*0.97</f>
        <v>284.16149999999999</v>
      </c>
      <c r="C7" s="35">
        <f>279*(100-C$2)/100</f>
        <v>292.95</v>
      </c>
      <c r="D7" s="35">
        <f t="shared" ref="D7:D69" si="1">C7*1.1</f>
        <v>322.245</v>
      </c>
      <c r="E7" s="35">
        <f t="shared" ref="E7:E69" si="2">C7*1.15</f>
        <v>336.89249999999998</v>
      </c>
    </row>
    <row r="8" spans="1:9" ht="15" customHeight="1" outlineLevel="1" x14ac:dyDescent="0.25">
      <c r="A8" s="11" t="s">
        <v>835</v>
      </c>
      <c r="B8" s="35">
        <f t="shared" si="0"/>
        <v>288.23549999999994</v>
      </c>
      <c r="C8" s="35">
        <f>283*(100-C$2)/100</f>
        <v>297.14999999999998</v>
      </c>
      <c r="D8" s="35">
        <f t="shared" si="1"/>
        <v>326.86500000000001</v>
      </c>
      <c r="E8" s="35">
        <f t="shared" si="2"/>
        <v>341.72249999999997</v>
      </c>
    </row>
    <row r="9" spans="1:9" ht="15" customHeight="1" outlineLevel="1" x14ac:dyDescent="0.25">
      <c r="A9" s="11" t="s">
        <v>331</v>
      </c>
      <c r="B9" s="35">
        <f t="shared" si="0"/>
        <v>282.12450000000001</v>
      </c>
      <c r="C9" s="35">
        <f>277*(100-C$2)/100</f>
        <v>290.85000000000002</v>
      </c>
      <c r="D9" s="35">
        <f t="shared" si="1"/>
        <v>319.93500000000006</v>
      </c>
      <c r="E9" s="35">
        <f t="shared" si="2"/>
        <v>334.47750000000002</v>
      </c>
    </row>
    <row r="10" spans="1:9" ht="15" customHeight="1" outlineLevel="1" x14ac:dyDescent="0.25">
      <c r="A10" s="11" t="s">
        <v>332</v>
      </c>
      <c r="B10" s="35">
        <f t="shared" si="0"/>
        <v>301.476</v>
      </c>
      <c r="C10" s="35">
        <f>296*(100-C$2)/100</f>
        <v>310.8</v>
      </c>
      <c r="D10" s="35">
        <f t="shared" si="1"/>
        <v>341.88000000000005</v>
      </c>
      <c r="E10" s="35">
        <f t="shared" si="2"/>
        <v>357.41999999999996</v>
      </c>
    </row>
    <row r="11" spans="1:9" ht="15" customHeight="1" outlineLevel="1" x14ac:dyDescent="0.25">
      <c r="A11" s="11" t="s">
        <v>836</v>
      </c>
      <c r="B11" s="35">
        <f t="shared" si="0"/>
        <v>306.56850000000003</v>
      </c>
      <c r="C11" s="35">
        <f>301*(100-C$2)/100</f>
        <v>316.05</v>
      </c>
      <c r="D11" s="35">
        <f t="shared" si="1"/>
        <v>347.65500000000003</v>
      </c>
      <c r="E11" s="35">
        <f t="shared" si="2"/>
        <v>363.45749999999998</v>
      </c>
    </row>
    <row r="12" spans="1:9" ht="15" customHeight="1" outlineLevel="1" x14ac:dyDescent="0.25">
      <c r="A12" s="11" t="s">
        <v>837</v>
      </c>
      <c r="B12" s="35">
        <f t="shared" si="0"/>
        <v>309.62399999999997</v>
      </c>
      <c r="C12" s="35">
        <f>304*(100-C$2)/100</f>
        <v>319.2</v>
      </c>
      <c r="D12" s="35">
        <f t="shared" si="1"/>
        <v>351.12</v>
      </c>
      <c r="E12" s="35">
        <f t="shared" si="2"/>
        <v>367.08</v>
      </c>
    </row>
    <row r="13" spans="1:9" ht="15" customHeight="1" outlineLevel="1" x14ac:dyDescent="0.25">
      <c r="A13" s="11" t="s">
        <v>333</v>
      </c>
      <c r="B13" s="35">
        <f t="shared" si="0"/>
        <v>315.73500000000001</v>
      </c>
      <c r="C13" s="35">
        <f>310*(100-C$2)/100</f>
        <v>325.5</v>
      </c>
      <c r="D13" s="35">
        <f t="shared" si="1"/>
        <v>358.05</v>
      </c>
      <c r="E13" s="35">
        <f t="shared" si="2"/>
        <v>374.32499999999999</v>
      </c>
    </row>
    <row r="14" spans="1:9" ht="15" customHeight="1" outlineLevel="1" x14ac:dyDescent="0.25">
      <c r="A14" s="11" t="s">
        <v>334</v>
      </c>
      <c r="B14" s="35">
        <f t="shared" si="0"/>
        <v>321.846</v>
      </c>
      <c r="C14" s="35">
        <f>316*(100-C$2)/100</f>
        <v>331.8</v>
      </c>
      <c r="D14" s="35">
        <f t="shared" si="1"/>
        <v>364.98</v>
      </c>
      <c r="E14" s="35">
        <f t="shared" si="2"/>
        <v>381.57</v>
      </c>
    </row>
    <row r="15" spans="1:9" ht="15" customHeight="1" outlineLevel="1" x14ac:dyDescent="0.25">
      <c r="A15" s="11" t="s">
        <v>335</v>
      </c>
      <c r="B15" s="35">
        <f t="shared" si="0"/>
        <v>331.01249999999999</v>
      </c>
      <c r="C15" s="35">
        <f>325*(100-C$2)/100</f>
        <v>341.25</v>
      </c>
      <c r="D15" s="35">
        <f t="shared" si="1"/>
        <v>375.37500000000006</v>
      </c>
      <c r="E15" s="35">
        <f t="shared" si="2"/>
        <v>392.43749999999994</v>
      </c>
    </row>
    <row r="16" spans="1:9" ht="15" customHeight="1" outlineLevel="1" x14ac:dyDescent="0.25">
      <c r="A16" s="11" t="s">
        <v>336</v>
      </c>
      <c r="B16" s="35">
        <f t="shared" si="0"/>
        <v>342.21600000000001</v>
      </c>
      <c r="C16" s="35">
        <f>336*(100-C$2)/100</f>
        <v>352.8</v>
      </c>
      <c r="D16" s="35">
        <f t="shared" si="1"/>
        <v>388.08000000000004</v>
      </c>
      <c r="E16" s="35">
        <f t="shared" si="2"/>
        <v>405.71999999999997</v>
      </c>
    </row>
    <row r="17" spans="1:5" ht="15" customHeight="1" outlineLevel="1" x14ac:dyDescent="0.25">
      <c r="A17" s="11" t="s">
        <v>337</v>
      </c>
      <c r="B17" s="35">
        <f t="shared" si="0"/>
        <v>352.40100000000001</v>
      </c>
      <c r="C17" s="35">
        <f>346*(100-C$2)/100</f>
        <v>363.3</v>
      </c>
      <c r="D17" s="35">
        <f t="shared" si="1"/>
        <v>399.63000000000005</v>
      </c>
      <c r="E17" s="35">
        <f t="shared" si="2"/>
        <v>417.79499999999996</v>
      </c>
    </row>
    <row r="18" spans="1:5" ht="15" customHeight="1" outlineLevel="1" x14ac:dyDescent="0.25">
      <c r="A18" s="11" t="s">
        <v>338</v>
      </c>
      <c r="B18" s="35">
        <f t="shared" si="0"/>
        <v>386.01149999999996</v>
      </c>
      <c r="C18" s="35">
        <f>379*(100-C$2)/100</f>
        <v>397.95</v>
      </c>
      <c r="D18" s="35">
        <f t="shared" si="1"/>
        <v>437.745</v>
      </c>
      <c r="E18" s="35">
        <f t="shared" si="2"/>
        <v>457.64249999999993</v>
      </c>
    </row>
    <row r="19" spans="1:5" ht="15" customHeight="1" outlineLevel="1" x14ac:dyDescent="0.25">
      <c r="A19" s="11" t="s">
        <v>339</v>
      </c>
      <c r="B19" s="35">
        <f t="shared" si="0"/>
        <v>354.43799999999999</v>
      </c>
      <c r="C19" s="35">
        <f>348*(100-C$2)/100</f>
        <v>365.4</v>
      </c>
      <c r="D19" s="35">
        <f t="shared" si="1"/>
        <v>401.94</v>
      </c>
      <c r="E19" s="35">
        <f t="shared" si="2"/>
        <v>420.20999999999992</v>
      </c>
    </row>
    <row r="20" spans="1:5" ht="15" customHeight="1" outlineLevel="1" x14ac:dyDescent="0.25">
      <c r="A20" s="11" t="s">
        <v>850</v>
      </c>
      <c r="B20" s="35">
        <f t="shared" si="0"/>
        <v>368.697</v>
      </c>
      <c r="C20" s="35">
        <f>362*(100-C$2)/100</f>
        <v>380.1</v>
      </c>
      <c r="D20" s="35">
        <f t="shared" si="1"/>
        <v>418.11000000000007</v>
      </c>
      <c r="E20" s="35">
        <f t="shared" si="2"/>
        <v>437.11500000000001</v>
      </c>
    </row>
    <row r="21" spans="1:5" ht="15" customHeight="1" outlineLevel="1" x14ac:dyDescent="0.25">
      <c r="A21" s="11" t="s">
        <v>851</v>
      </c>
      <c r="B21" s="35">
        <f t="shared" si="0"/>
        <v>374.80799999999999</v>
      </c>
      <c r="C21" s="35">
        <f>368*(100-C$2)/100</f>
        <v>386.4</v>
      </c>
      <c r="D21" s="35">
        <f t="shared" si="1"/>
        <v>425.04</v>
      </c>
      <c r="E21" s="35">
        <f t="shared" si="2"/>
        <v>444.35999999999996</v>
      </c>
    </row>
    <row r="22" spans="1:5" ht="15" customHeight="1" outlineLevel="1" x14ac:dyDescent="0.25">
      <c r="A22" s="11" t="s">
        <v>340</v>
      </c>
      <c r="B22" s="35">
        <f t="shared" si="0"/>
        <v>386.01149999999996</v>
      </c>
      <c r="C22" s="35">
        <f>379*(100-C$2)/100</f>
        <v>397.95</v>
      </c>
      <c r="D22" s="35">
        <f t="shared" si="1"/>
        <v>437.745</v>
      </c>
      <c r="E22" s="35">
        <f t="shared" si="2"/>
        <v>457.64249999999993</v>
      </c>
    </row>
    <row r="23" spans="1:5" ht="15" customHeight="1" outlineLevel="1" x14ac:dyDescent="0.25">
      <c r="A23" s="11" t="s">
        <v>341</v>
      </c>
      <c r="B23" s="35">
        <f t="shared" si="0"/>
        <v>395.17799999999994</v>
      </c>
      <c r="C23" s="35">
        <f>388*(100-C$2)/100</f>
        <v>407.4</v>
      </c>
      <c r="D23" s="35">
        <f t="shared" si="1"/>
        <v>448.14</v>
      </c>
      <c r="E23" s="35">
        <f t="shared" si="2"/>
        <v>468.50999999999993</v>
      </c>
    </row>
    <row r="24" spans="1:5" ht="15" customHeight="1" outlineLevel="1" x14ac:dyDescent="0.25">
      <c r="A24" s="11" t="s">
        <v>342</v>
      </c>
      <c r="B24" s="35">
        <f t="shared" si="0"/>
        <v>441.01049999999998</v>
      </c>
      <c r="C24" s="35">
        <f>433*(100-C$2)/100</f>
        <v>454.65</v>
      </c>
      <c r="D24" s="35">
        <f t="shared" si="1"/>
        <v>500.11500000000001</v>
      </c>
      <c r="E24" s="35">
        <f t="shared" si="2"/>
        <v>522.84749999999997</v>
      </c>
    </row>
    <row r="25" spans="1:5" ht="15" customHeight="1" outlineLevel="1" x14ac:dyDescent="0.25">
      <c r="A25" s="11" t="s">
        <v>343</v>
      </c>
      <c r="B25" s="35">
        <f t="shared" si="0"/>
        <v>460.36200000000002</v>
      </c>
      <c r="C25" s="35">
        <f>452*(100-C$2)/100</f>
        <v>474.6</v>
      </c>
      <c r="D25" s="35">
        <f t="shared" si="1"/>
        <v>522.06000000000006</v>
      </c>
      <c r="E25" s="35">
        <f t="shared" si="2"/>
        <v>545.79</v>
      </c>
    </row>
    <row r="26" spans="1:5" ht="15" customHeight="1" outlineLevel="1" x14ac:dyDescent="0.25">
      <c r="A26" s="11" t="s">
        <v>344</v>
      </c>
      <c r="B26" s="35">
        <f t="shared" si="0"/>
        <v>501.10200000000003</v>
      </c>
      <c r="C26" s="35">
        <f>492*(100-C$2)/100</f>
        <v>516.6</v>
      </c>
      <c r="D26" s="35">
        <f t="shared" si="1"/>
        <v>568.2600000000001</v>
      </c>
      <c r="E26" s="35">
        <f t="shared" si="2"/>
        <v>594.09</v>
      </c>
    </row>
    <row r="27" spans="1:5" ht="15" customHeight="1" outlineLevel="1" x14ac:dyDescent="0.25">
      <c r="A27" s="11" t="s">
        <v>345</v>
      </c>
      <c r="B27" s="35">
        <f t="shared" si="0"/>
        <v>530.63849999999991</v>
      </c>
      <c r="C27" s="35">
        <f>521*(100-C$2)/100</f>
        <v>547.04999999999995</v>
      </c>
      <c r="D27" s="35">
        <f t="shared" si="1"/>
        <v>601.755</v>
      </c>
      <c r="E27" s="35">
        <f t="shared" si="2"/>
        <v>629.10749999999985</v>
      </c>
    </row>
    <row r="28" spans="1:5" ht="15" customHeight="1" outlineLevel="1" x14ac:dyDescent="0.25">
      <c r="A28" s="11" t="s">
        <v>346</v>
      </c>
      <c r="B28" s="35">
        <f t="shared" si="0"/>
        <v>546.93449999999996</v>
      </c>
      <c r="C28" s="35">
        <f>537*(100-C$2)/100</f>
        <v>563.85</v>
      </c>
      <c r="D28" s="35">
        <f t="shared" si="1"/>
        <v>620.23500000000013</v>
      </c>
      <c r="E28" s="35">
        <f t="shared" si="2"/>
        <v>648.42750000000001</v>
      </c>
    </row>
    <row r="29" spans="1:5" ht="15" customHeight="1" outlineLevel="1" x14ac:dyDescent="0.25">
      <c r="A29" s="11" t="s">
        <v>347</v>
      </c>
      <c r="B29" s="35">
        <f t="shared" si="0"/>
        <v>583.93999999999994</v>
      </c>
      <c r="C29" s="35">
        <v>602</v>
      </c>
      <c r="D29" s="35">
        <f t="shared" si="1"/>
        <v>662.2</v>
      </c>
      <c r="E29" s="35">
        <f t="shared" si="2"/>
        <v>692.3</v>
      </c>
    </row>
    <row r="30" spans="1:5" ht="15" customHeight="1" outlineLevel="1" x14ac:dyDescent="0.25">
      <c r="A30" s="11" t="s">
        <v>348</v>
      </c>
      <c r="B30" s="35">
        <f t="shared" si="0"/>
        <v>667.36</v>
      </c>
      <c r="C30" s="35">
        <v>688</v>
      </c>
      <c r="D30" s="35">
        <f t="shared" si="1"/>
        <v>756.80000000000007</v>
      </c>
      <c r="E30" s="35">
        <f t="shared" si="2"/>
        <v>791.19999999999993</v>
      </c>
    </row>
    <row r="31" spans="1:5" ht="15" customHeight="1" outlineLevel="1" x14ac:dyDescent="0.25">
      <c r="A31" s="11" t="s">
        <v>349</v>
      </c>
      <c r="B31" s="35">
        <f t="shared" si="0"/>
        <v>543.87900000000002</v>
      </c>
      <c r="C31" s="35">
        <f>534*(100-C$2)/100</f>
        <v>560.70000000000005</v>
      </c>
      <c r="D31" s="35">
        <f t="shared" si="1"/>
        <v>616.7700000000001</v>
      </c>
      <c r="E31" s="35">
        <f t="shared" si="2"/>
        <v>644.80499999999995</v>
      </c>
    </row>
    <row r="32" spans="1:5" ht="15" customHeight="1" outlineLevel="1" x14ac:dyDescent="0.25">
      <c r="A32" s="11" t="s">
        <v>852</v>
      </c>
      <c r="B32" s="35">
        <f t="shared" si="0"/>
        <v>546.93449999999996</v>
      </c>
      <c r="C32" s="35">
        <f>537*(100-C$2)/100</f>
        <v>563.85</v>
      </c>
      <c r="D32" s="35">
        <f t="shared" si="1"/>
        <v>620.23500000000013</v>
      </c>
      <c r="E32" s="35">
        <f t="shared" si="2"/>
        <v>648.42750000000001</v>
      </c>
    </row>
    <row r="33" spans="1:5" ht="15" customHeight="1" outlineLevel="1" x14ac:dyDescent="0.25">
      <c r="A33" s="11" t="s">
        <v>853</v>
      </c>
      <c r="B33" s="35">
        <f t="shared" si="0"/>
        <v>548.97149999999999</v>
      </c>
      <c r="C33" s="35">
        <f>539*(100-C$2)/100</f>
        <v>565.95000000000005</v>
      </c>
      <c r="D33" s="35">
        <f t="shared" si="1"/>
        <v>622.54500000000007</v>
      </c>
      <c r="E33" s="35">
        <f t="shared" si="2"/>
        <v>650.84249999999997</v>
      </c>
    </row>
    <row r="34" spans="1:5" ht="15" customHeight="1" outlineLevel="1" x14ac:dyDescent="0.25">
      <c r="A34" s="11" t="s">
        <v>350</v>
      </c>
      <c r="B34" s="35">
        <f t="shared" si="0"/>
        <v>566.28599999999994</v>
      </c>
      <c r="C34" s="35">
        <f>556*(100-C$2)/100</f>
        <v>583.79999999999995</v>
      </c>
      <c r="D34" s="35">
        <f t="shared" si="1"/>
        <v>642.17999999999995</v>
      </c>
      <c r="E34" s="35">
        <f t="shared" si="2"/>
        <v>671.36999999999989</v>
      </c>
    </row>
    <row r="35" spans="1:5" ht="15.75" customHeight="1" outlineLevel="1" x14ac:dyDescent="0.25">
      <c r="A35" s="11" t="s">
        <v>351</v>
      </c>
      <c r="B35" s="35">
        <f t="shared" si="0"/>
        <v>573.41549999999995</v>
      </c>
      <c r="C35" s="35">
        <f>563*(100-C$2)/100</f>
        <v>591.15</v>
      </c>
      <c r="D35" s="35">
        <f t="shared" si="1"/>
        <v>650.26499999999999</v>
      </c>
      <c r="E35" s="35">
        <f t="shared" si="2"/>
        <v>679.82249999999988</v>
      </c>
    </row>
    <row r="36" spans="1:5" outlineLevel="1" x14ac:dyDescent="0.25">
      <c r="A36" s="11" t="s">
        <v>352</v>
      </c>
      <c r="B36" s="35">
        <f t="shared" si="0"/>
        <v>641.65499999999997</v>
      </c>
      <c r="C36" s="35">
        <f>630*(100-C$2)/100</f>
        <v>661.5</v>
      </c>
      <c r="D36" s="35">
        <f t="shared" si="1"/>
        <v>727.65000000000009</v>
      </c>
      <c r="E36" s="35">
        <f t="shared" si="2"/>
        <v>760.72499999999991</v>
      </c>
    </row>
    <row r="37" spans="1:5" outlineLevel="1" x14ac:dyDescent="0.25">
      <c r="A37" s="11" t="s">
        <v>353</v>
      </c>
      <c r="B37" s="35">
        <f t="shared" si="0"/>
        <v>733.31999999999994</v>
      </c>
      <c r="C37" s="35">
        <f>720*(100-C$2)/100</f>
        <v>756</v>
      </c>
      <c r="D37" s="35">
        <f t="shared" si="1"/>
        <v>831.6</v>
      </c>
      <c r="E37" s="35">
        <f t="shared" si="2"/>
        <v>869.4</v>
      </c>
    </row>
    <row r="38" spans="1:5" outlineLevel="1" x14ac:dyDescent="0.25">
      <c r="A38" s="11" t="s">
        <v>354</v>
      </c>
      <c r="B38" s="35">
        <f t="shared" si="0"/>
        <v>741.46799999999996</v>
      </c>
      <c r="C38" s="35">
        <f>728*(100-C$2)/100</f>
        <v>764.4</v>
      </c>
      <c r="D38" s="35">
        <f t="shared" si="1"/>
        <v>840.84</v>
      </c>
      <c r="E38" s="35">
        <f t="shared" si="2"/>
        <v>879.06</v>
      </c>
    </row>
    <row r="39" spans="1:5" outlineLevel="1" x14ac:dyDescent="0.25">
      <c r="A39" s="11" t="s">
        <v>854</v>
      </c>
      <c r="B39" s="35">
        <f t="shared" si="0"/>
        <v>746.56049999999993</v>
      </c>
      <c r="C39" s="35">
        <f>733*(100-C$2)/100</f>
        <v>769.65</v>
      </c>
      <c r="D39" s="35">
        <f t="shared" si="1"/>
        <v>846.61500000000001</v>
      </c>
      <c r="E39" s="35">
        <f t="shared" si="2"/>
        <v>885.09749999999985</v>
      </c>
    </row>
    <row r="40" spans="1:5" outlineLevel="1" x14ac:dyDescent="0.25">
      <c r="A40" s="11" t="s">
        <v>855</v>
      </c>
      <c r="B40" s="35">
        <f t="shared" si="0"/>
        <v>769.98599999999999</v>
      </c>
      <c r="C40" s="35">
        <f>756*(100-C$2)/100</f>
        <v>793.8</v>
      </c>
      <c r="D40" s="35">
        <f t="shared" si="1"/>
        <v>873.18000000000006</v>
      </c>
      <c r="E40" s="35">
        <f t="shared" si="2"/>
        <v>912.86999999999989</v>
      </c>
    </row>
    <row r="41" spans="1:5" outlineLevel="1" x14ac:dyDescent="0.25">
      <c r="A41" s="11" t="s">
        <v>355</v>
      </c>
      <c r="B41" s="35">
        <f t="shared" si="0"/>
        <v>779.15250000000003</v>
      </c>
      <c r="C41" s="35">
        <f>765*(100-C$2)/100</f>
        <v>803.25</v>
      </c>
      <c r="D41" s="35">
        <f t="shared" si="1"/>
        <v>883.57500000000005</v>
      </c>
      <c r="E41" s="35">
        <f t="shared" si="2"/>
        <v>923.73749999999995</v>
      </c>
    </row>
    <row r="42" spans="1:5" outlineLevel="1" x14ac:dyDescent="0.25">
      <c r="A42" s="11" t="s">
        <v>356</v>
      </c>
      <c r="B42" s="35">
        <f t="shared" si="0"/>
        <v>716.00549999999998</v>
      </c>
      <c r="C42" s="35">
        <f>703*(100-C$2)/100</f>
        <v>738.15</v>
      </c>
      <c r="D42" s="35">
        <f t="shared" si="1"/>
        <v>811.96500000000003</v>
      </c>
      <c r="E42" s="35">
        <f t="shared" si="2"/>
        <v>848.87249999999995</v>
      </c>
    </row>
    <row r="43" spans="1:5" outlineLevel="1" x14ac:dyDescent="0.25">
      <c r="A43" s="11" t="s">
        <v>357</v>
      </c>
      <c r="B43" s="35">
        <f t="shared" si="0"/>
        <v>886.09500000000003</v>
      </c>
      <c r="C43" s="35">
        <f>870*(100-C$2)/100</f>
        <v>913.5</v>
      </c>
      <c r="D43" s="35">
        <f t="shared" si="1"/>
        <v>1004.8500000000001</v>
      </c>
      <c r="E43" s="35">
        <f t="shared" si="2"/>
        <v>1050.5249999999999</v>
      </c>
    </row>
    <row r="44" spans="1:5" outlineLevel="1" x14ac:dyDescent="0.25">
      <c r="A44" s="11" t="s">
        <v>358</v>
      </c>
      <c r="B44" s="35">
        <f t="shared" si="0"/>
        <v>998.13</v>
      </c>
      <c r="C44" s="35">
        <f>980*(100-C$2)/100</f>
        <v>1029</v>
      </c>
      <c r="D44" s="35">
        <f t="shared" si="1"/>
        <v>1131.9000000000001</v>
      </c>
      <c r="E44" s="35">
        <f t="shared" si="2"/>
        <v>1183.3499999999999</v>
      </c>
    </row>
    <row r="45" spans="1:5" outlineLevel="1" x14ac:dyDescent="0.25">
      <c r="A45" s="11" t="s">
        <v>359</v>
      </c>
      <c r="B45" s="35">
        <f t="shared" si="0"/>
        <v>856.55849999999998</v>
      </c>
      <c r="C45" s="35">
        <f>841*(100-C$2)/100</f>
        <v>883.05</v>
      </c>
      <c r="D45" s="35">
        <f t="shared" si="1"/>
        <v>971.35500000000002</v>
      </c>
      <c r="E45" s="35">
        <f t="shared" si="2"/>
        <v>1015.5074999999998</v>
      </c>
    </row>
    <row r="46" spans="1:5" outlineLevel="1" x14ac:dyDescent="0.25">
      <c r="A46" s="11" t="s">
        <v>856</v>
      </c>
      <c r="B46" s="35">
        <f t="shared" si="0"/>
        <v>905.44650000000001</v>
      </c>
      <c r="C46" s="35">
        <f>889*(100-C$2)/100</f>
        <v>933.45</v>
      </c>
      <c r="D46" s="35">
        <f t="shared" si="1"/>
        <v>1026.7950000000001</v>
      </c>
      <c r="E46" s="35">
        <f t="shared" si="2"/>
        <v>1073.4675</v>
      </c>
    </row>
    <row r="47" spans="1:5" outlineLevel="1" x14ac:dyDescent="0.25">
      <c r="A47" s="11" t="s">
        <v>857</v>
      </c>
      <c r="B47" s="35">
        <f t="shared" si="0"/>
        <v>914.61299999999994</v>
      </c>
      <c r="C47" s="35">
        <f>898*(100-C$2)/100</f>
        <v>942.9</v>
      </c>
      <c r="D47" s="35">
        <f t="shared" si="1"/>
        <v>1037.19</v>
      </c>
      <c r="E47" s="35">
        <f t="shared" si="2"/>
        <v>1084.3349999999998</v>
      </c>
    </row>
    <row r="48" spans="1:5" outlineLevel="1" x14ac:dyDescent="0.25">
      <c r="A48" s="11" t="s">
        <v>360</v>
      </c>
      <c r="B48" s="35">
        <f t="shared" si="0"/>
        <v>919.70549999999992</v>
      </c>
      <c r="C48" s="35">
        <f>903*(100-C$2)/100</f>
        <v>948.15</v>
      </c>
      <c r="D48" s="35">
        <f t="shared" si="1"/>
        <v>1042.9650000000001</v>
      </c>
      <c r="E48" s="35">
        <f t="shared" si="2"/>
        <v>1090.3724999999999</v>
      </c>
    </row>
    <row r="49" spans="1:5" outlineLevel="1" x14ac:dyDescent="0.25">
      <c r="A49" s="11" t="s">
        <v>361</v>
      </c>
      <c r="B49" s="35">
        <f t="shared" si="0"/>
        <v>969.61199999999997</v>
      </c>
      <c r="C49" s="35">
        <f>952*(100-C$2)/100</f>
        <v>999.6</v>
      </c>
      <c r="D49" s="35">
        <f t="shared" si="1"/>
        <v>1099.5600000000002</v>
      </c>
      <c r="E49" s="35">
        <f t="shared" si="2"/>
        <v>1149.54</v>
      </c>
    </row>
    <row r="50" spans="1:5" outlineLevel="1" x14ac:dyDescent="0.25">
      <c r="A50" s="11" t="s">
        <v>362</v>
      </c>
      <c r="B50" s="35">
        <f t="shared" si="0"/>
        <v>998.13</v>
      </c>
      <c r="C50" s="35">
        <f>980*(100-C$2)/100</f>
        <v>1029</v>
      </c>
      <c r="D50" s="35">
        <f t="shared" si="1"/>
        <v>1131.9000000000001</v>
      </c>
      <c r="E50" s="35">
        <f t="shared" si="2"/>
        <v>1183.3499999999999</v>
      </c>
    </row>
    <row r="51" spans="1:5" outlineLevel="1" x14ac:dyDescent="0.25">
      <c r="A51" s="11" t="s">
        <v>363</v>
      </c>
      <c r="B51" s="35">
        <f t="shared" si="0"/>
        <v>1023.5925</v>
      </c>
      <c r="C51" s="35">
        <f>1005*(100-C$2)/100</f>
        <v>1055.25</v>
      </c>
      <c r="D51" s="35">
        <f t="shared" si="1"/>
        <v>1160.7750000000001</v>
      </c>
      <c r="E51" s="35">
        <f t="shared" si="2"/>
        <v>1213.5374999999999</v>
      </c>
    </row>
    <row r="52" spans="1:5" ht="20.100000000000001" customHeight="1" outlineLevel="1" x14ac:dyDescent="0.25">
      <c r="A52" s="167" t="s">
        <v>838</v>
      </c>
      <c r="B52" s="168"/>
      <c r="C52" s="168"/>
      <c r="D52" s="168"/>
      <c r="E52" s="169"/>
    </row>
    <row r="53" spans="1:5" outlineLevel="1" x14ac:dyDescent="0.25">
      <c r="A53" s="11" t="s">
        <v>364</v>
      </c>
      <c r="B53" s="34">
        <f t="shared" si="0"/>
        <v>83.516999999999996</v>
      </c>
      <c r="C53" s="34">
        <f>82*(100-C$2)/100</f>
        <v>86.1</v>
      </c>
      <c r="D53" s="34">
        <f t="shared" si="1"/>
        <v>94.710000000000008</v>
      </c>
      <c r="E53" s="34">
        <f t="shared" si="2"/>
        <v>99.014999999999986</v>
      </c>
    </row>
    <row r="54" spans="1:5" outlineLevel="1" x14ac:dyDescent="0.25">
      <c r="A54" s="11" t="s">
        <v>975</v>
      </c>
      <c r="B54" s="34">
        <f t="shared" si="0"/>
        <v>84.535499999999999</v>
      </c>
      <c r="C54" s="34">
        <f>83*(100-C$2)/100</f>
        <v>87.15</v>
      </c>
      <c r="D54" s="34">
        <f t="shared" si="1"/>
        <v>95.865000000000009</v>
      </c>
      <c r="E54" s="34">
        <f t="shared" si="2"/>
        <v>100.2225</v>
      </c>
    </row>
    <row r="55" spans="1:5" outlineLevel="1" x14ac:dyDescent="0.25">
      <c r="A55" s="11" t="s">
        <v>365</v>
      </c>
      <c r="B55" s="34">
        <f t="shared" si="0"/>
        <v>92.683499999999995</v>
      </c>
      <c r="C55" s="34">
        <f>91*(100-C$2)/100</f>
        <v>95.55</v>
      </c>
      <c r="D55" s="34">
        <f t="shared" si="1"/>
        <v>105.105</v>
      </c>
      <c r="E55" s="34">
        <f t="shared" si="2"/>
        <v>109.88249999999999</v>
      </c>
    </row>
    <row r="56" spans="1:5" outlineLevel="1" x14ac:dyDescent="0.25">
      <c r="A56" s="11" t="s">
        <v>366</v>
      </c>
      <c r="B56" s="34">
        <f t="shared" si="0"/>
        <v>107.961</v>
      </c>
      <c r="C56" s="34">
        <f>106*(100-C$2)/100</f>
        <v>111.3</v>
      </c>
      <c r="D56" s="34">
        <f t="shared" si="1"/>
        <v>122.43</v>
      </c>
      <c r="E56" s="34">
        <f t="shared" si="2"/>
        <v>127.99499999999999</v>
      </c>
    </row>
    <row r="57" spans="1:5" outlineLevel="1" x14ac:dyDescent="0.25">
      <c r="A57" s="11" t="s">
        <v>367</v>
      </c>
      <c r="B57" s="34">
        <f t="shared" si="0"/>
        <v>128.33100000000002</v>
      </c>
      <c r="C57" s="34">
        <f>126*(100-C$2)/100</f>
        <v>132.30000000000001</v>
      </c>
      <c r="D57" s="34">
        <f t="shared" si="1"/>
        <v>145.53000000000003</v>
      </c>
      <c r="E57" s="34">
        <f t="shared" si="2"/>
        <v>152.14500000000001</v>
      </c>
    </row>
    <row r="58" spans="1:5" outlineLevel="1" x14ac:dyDescent="0.25">
      <c r="A58" s="11" t="s">
        <v>368</v>
      </c>
      <c r="B58" s="34">
        <f t="shared" si="0"/>
        <v>147.6825</v>
      </c>
      <c r="C58" s="34">
        <f>145*(100-C$2)/100</f>
        <v>152.25</v>
      </c>
      <c r="D58" s="34">
        <f t="shared" si="1"/>
        <v>167.47500000000002</v>
      </c>
      <c r="E58" s="34">
        <f t="shared" si="2"/>
        <v>175.08749999999998</v>
      </c>
    </row>
    <row r="59" spans="1:5" outlineLevel="1" x14ac:dyDescent="0.25">
      <c r="A59" s="11" t="s">
        <v>369</v>
      </c>
      <c r="B59" s="34">
        <f t="shared" si="0"/>
        <v>176.20050000000001</v>
      </c>
      <c r="C59" s="34">
        <f>173*(100-C$2)/100</f>
        <v>181.65</v>
      </c>
      <c r="D59" s="34">
        <f t="shared" si="1"/>
        <v>199.81500000000003</v>
      </c>
      <c r="E59" s="34">
        <f t="shared" si="2"/>
        <v>208.89749999999998</v>
      </c>
    </row>
    <row r="60" spans="1:5" outlineLevel="1" x14ac:dyDescent="0.25">
      <c r="A60" s="11" t="s">
        <v>370</v>
      </c>
      <c r="B60" s="34">
        <f t="shared" si="0"/>
        <v>207.77399999999997</v>
      </c>
      <c r="C60" s="34">
        <f>204*(100-C$2)/100</f>
        <v>214.2</v>
      </c>
      <c r="D60" s="34">
        <f t="shared" si="1"/>
        <v>235.62</v>
      </c>
      <c r="E60" s="34">
        <f t="shared" si="2"/>
        <v>246.32999999999996</v>
      </c>
    </row>
    <row r="61" spans="1:5" outlineLevel="1" x14ac:dyDescent="0.25">
      <c r="A61" s="11" t="s">
        <v>371</v>
      </c>
      <c r="B61" s="34">
        <f t="shared" si="0"/>
        <v>332.03100000000001</v>
      </c>
      <c r="C61" s="34">
        <f>326*(100-C$2)/100</f>
        <v>342.3</v>
      </c>
      <c r="D61" s="34">
        <f t="shared" si="1"/>
        <v>376.53000000000003</v>
      </c>
      <c r="E61" s="34">
        <f t="shared" si="2"/>
        <v>393.64499999999998</v>
      </c>
    </row>
    <row r="62" spans="1:5" ht="20.100000000000001" customHeight="1" outlineLevel="1" x14ac:dyDescent="0.25">
      <c r="A62" s="167" t="s">
        <v>839</v>
      </c>
      <c r="B62" s="168"/>
      <c r="C62" s="168"/>
      <c r="D62" s="168"/>
      <c r="E62" s="169"/>
    </row>
    <row r="63" spans="1:5" ht="15" customHeight="1" outlineLevel="1" x14ac:dyDescent="0.25">
      <c r="A63" s="11" t="s">
        <v>840</v>
      </c>
      <c r="B63" s="34">
        <f t="shared" si="0"/>
        <v>264.49263539999998</v>
      </c>
      <c r="C63" s="34">
        <f>276*(100-C$2)/100*0.97*0.97</f>
        <v>272.67282</v>
      </c>
      <c r="D63" s="34">
        <f t="shared" si="1"/>
        <v>299.94010200000002</v>
      </c>
      <c r="E63" s="34">
        <f t="shared" si="2"/>
        <v>313.57374299999998</v>
      </c>
    </row>
    <row r="64" spans="1:5" ht="15" customHeight="1" outlineLevel="1" x14ac:dyDescent="0.25">
      <c r="A64" s="11" t="s">
        <v>372</v>
      </c>
      <c r="B64" s="34">
        <f t="shared" si="0"/>
        <v>275.63665499999996</v>
      </c>
      <c r="C64" s="34">
        <f>279*(100-C$2)/100*0.97</f>
        <v>284.16149999999999</v>
      </c>
      <c r="D64" s="34">
        <f t="shared" si="1"/>
        <v>312.57765000000001</v>
      </c>
      <c r="E64" s="34">
        <f t="shared" si="2"/>
        <v>326.78572499999996</v>
      </c>
    </row>
    <row r="65" spans="1:5" ht="15" customHeight="1" outlineLevel="1" x14ac:dyDescent="0.25">
      <c r="A65" s="11" t="s">
        <v>841</v>
      </c>
      <c r="B65" s="34">
        <f t="shared" si="0"/>
        <v>279.58843499999995</v>
      </c>
      <c r="C65" s="34">
        <f>283*(100-C$2)/100*0.97</f>
        <v>288.23549999999994</v>
      </c>
      <c r="D65" s="34">
        <f t="shared" si="1"/>
        <v>317.05904999999996</v>
      </c>
      <c r="E65" s="34">
        <f t="shared" si="2"/>
        <v>331.47082499999993</v>
      </c>
    </row>
    <row r="66" spans="1:5" ht="15" customHeight="1" outlineLevel="1" x14ac:dyDescent="0.25">
      <c r="A66" s="11" t="s">
        <v>842</v>
      </c>
      <c r="B66" s="34">
        <f t="shared" si="0"/>
        <v>273.66076500000003</v>
      </c>
      <c r="C66" s="34">
        <f>277*(100-C$2)/100*0.97</f>
        <v>282.12450000000001</v>
      </c>
      <c r="D66" s="34">
        <f t="shared" si="1"/>
        <v>310.33695000000006</v>
      </c>
      <c r="E66" s="34">
        <f t="shared" si="2"/>
        <v>324.443175</v>
      </c>
    </row>
    <row r="67" spans="1:5" ht="15" customHeight="1" outlineLevel="1" x14ac:dyDescent="0.25">
      <c r="A67" s="11" t="s">
        <v>373</v>
      </c>
      <c r="B67" s="34">
        <f t="shared" si="0"/>
        <v>292.43171999999998</v>
      </c>
      <c r="C67" s="34">
        <f>296*(100-C$2)/100*0.97</f>
        <v>301.476</v>
      </c>
      <c r="D67" s="34">
        <f t="shared" si="1"/>
        <v>331.62360000000001</v>
      </c>
      <c r="E67" s="34">
        <f t="shared" si="2"/>
        <v>346.69739999999996</v>
      </c>
    </row>
    <row r="68" spans="1:5" ht="15" customHeight="1" outlineLevel="1" x14ac:dyDescent="0.25">
      <c r="A68" s="11" t="s">
        <v>843</v>
      </c>
      <c r="B68" s="34">
        <f t="shared" si="0"/>
        <v>297.37144499999999</v>
      </c>
      <c r="C68" s="34">
        <f>301*(100-C$2)/100*0.97</f>
        <v>306.56850000000003</v>
      </c>
      <c r="D68" s="34">
        <f t="shared" si="1"/>
        <v>337.22535000000005</v>
      </c>
      <c r="E68" s="34">
        <f t="shared" si="2"/>
        <v>352.55377500000003</v>
      </c>
    </row>
    <row r="69" spans="1:5" ht="15" customHeight="1" outlineLevel="1" x14ac:dyDescent="0.25">
      <c r="A69" s="11" t="s">
        <v>844</v>
      </c>
      <c r="B69" s="34">
        <f t="shared" si="0"/>
        <v>300.33527999999995</v>
      </c>
      <c r="C69" s="34">
        <f>304*(100-C$2)/100*0.97</f>
        <v>309.62399999999997</v>
      </c>
      <c r="D69" s="34">
        <f t="shared" si="1"/>
        <v>340.58639999999997</v>
      </c>
      <c r="E69" s="34">
        <f t="shared" si="2"/>
        <v>356.06759999999991</v>
      </c>
    </row>
    <row r="70" spans="1:5" ht="15" customHeight="1" outlineLevel="1" x14ac:dyDescent="0.25">
      <c r="A70" s="11" t="s">
        <v>374</v>
      </c>
      <c r="B70" s="34">
        <f t="shared" ref="B70:B132" si="3">C70*0.97</f>
        <v>306.26294999999999</v>
      </c>
      <c r="C70" s="34">
        <f>310*(100-C$2)/100*0.97</f>
        <v>315.73500000000001</v>
      </c>
      <c r="D70" s="34">
        <f t="shared" ref="D70:D132" si="4">C70*1.1</f>
        <v>347.30850000000004</v>
      </c>
      <c r="E70" s="34">
        <f t="shared" ref="E70:E132" si="5">C70*1.15</f>
        <v>363.09524999999996</v>
      </c>
    </row>
    <row r="71" spans="1:5" ht="15" customHeight="1" outlineLevel="1" x14ac:dyDescent="0.25">
      <c r="A71" s="11" t="s">
        <v>375</v>
      </c>
      <c r="B71" s="34">
        <f t="shared" si="3"/>
        <v>312.19061999999997</v>
      </c>
      <c r="C71" s="34">
        <f>316*(100-C$2)/100*0.97</f>
        <v>321.846</v>
      </c>
      <c r="D71" s="34">
        <f t="shared" si="4"/>
        <v>354.03060000000005</v>
      </c>
      <c r="E71" s="34">
        <f t="shared" si="5"/>
        <v>370.12289999999996</v>
      </c>
    </row>
    <row r="72" spans="1:5" ht="15" customHeight="1" outlineLevel="1" x14ac:dyDescent="0.25">
      <c r="A72" s="11" t="s">
        <v>376</v>
      </c>
      <c r="B72" s="34">
        <f t="shared" si="3"/>
        <v>321.08212499999996</v>
      </c>
      <c r="C72" s="34">
        <f>325*(100-C$2)/100*0.97</f>
        <v>331.01249999999999</v>
      </c>
      <c r="D72" s="34">
        <f t="shared" si="4"/>
        <v>364.11375000000004</v>
      </c>
      <c r="E72" s="34">
        <f t="shared" si="5"/>
        <v>380.66437499999995</v>
      </c>
    </row>
    <row r="73" spans="1:5" ht="15" customHeight="1" outlineLevel="1" x14ac:dyDescent="0.25">
      <c r="A73" s="11" t="s">
        <v>377</v>
      </c>
      <c r="B73" s="34">
        <f t="shared" si="3"/>
        <v>331.94952000000001</v>
      </c>
      <c r="C73" s="34">
        <f>336*(100-C$2)/100*0.97</f>
        <v>342.21600000000001</v>
      </c>
      <c r="D73" s="34">
        <f t="shared" si="4"/>
        <v>376.43760000000003</v>
      </c>
      <c r="E73" s="34">
        <f t="shared" si="5"/>
        <v>393.54839999999996</v>
      </c>
    </row>
    <row r="74" spans="1:5" ht="15" customHeight="1" outlineLevel="1" x14ac:dyDescent="0.25">
      <c r="A74" s="11" t="s">
        <v>378</v>
      </c>
      <c r="B74" s="34">
        <f t="shared" si="3"/>
        <v>341.82897000000003</v>
      </c>
      <c r="C74" s="34">
        <f>346*(100-C$2)/100*0.97</f>
        <v>352.40100000000001</v>
      </c>
      <c r="D74" s="34">
        <f t="shared" si="4"/>
        <v>387.64110000000005</v>
      </c>
      <c r="E74" s="34">
        <f t="shared" si="5"/>
        <v>405.26114999999999</v>
      </c>
    </row>
    <row r="75" spans="1:5" ht="15" customHeight="1" outlineLevel="1" x14ac:dyDescent="0.25">
      <c r="A75" s="11" t="s">
        <v>379</v>
      </c>
      <c r="B75" s="34">
        <f t="shared" si="3"/>
        <v>374.43115499999993</v>
      </c>
      <c r="C75" s="34">
        <f>379*(100-C$2)/100*0.97</f>
        <v>386.01149999999996</v>
      </c>
      <c r="D75" s="34">
        <f t="shared" si="4"/>
        <v>424.61264999999997</v>
      </c>
      <c r="E75" s="34">
        <f t="shared" si="5"/>
        <v>443.9132249999999</v>
      </c>
    </row>
    <row r="76" spans="1:5" ht="15" customHeight="1" outlineLevel="1" x14ac:dyDescent="0.25">
      <c r="A76" s="11" t="s">
        <v>380</v>
      </c>
      <c r="B76" s="34">
        <f t="shared" si="3"/>
        <v>343.80485999999996</v>
      </c>
      <c r="C76" s="34">
        <f>348*(100-C$2)/100*0.97</f>
        <v>354.43799999999999</v>
      </c>
      <c r="D76" s="34">
        <f t="shared" si="4"/>
        <v>389.8818</v>
      </c>
      <c r="E76" s="34">
        <f t="shared" si="5"/>
        <v>407.60369999999995</v>
      </c>
    </row>
    <row r="77" spans="1:5" ht="15" customHeight="1" outlineLevel="1" x14ac:dyDescent="0.25">
      <c r="A77" s="11" t="s">
        <v>858</v>
      </c>
      <c r="B77" s="34">
        <f t="shared" si="3"/>
        <v>357.63608999999997</v>
      </c>
      <c r="C77" s="34">
        <f>362*(100-C$2)/100*0.97</f>
        <v>368.697</v>
      </c>
      <c r="D77" s="34">
        <f t="shared" si="4"/>
        <v>405.56670000000003</v>
      </c>
      <c r="E77" s="34">
        <f t="shared" si="5"/>
        <v>424.00154999999995</v>
      </c>
    </row>
    <row r="78" spans="1:5" ht="15" customHeight="1" outlineLevel="1" x14ac:dyDescent="0.25">
      <c r="A78" s="11" t="s">
        <v>859</v>
      </c>
      <c r="B78" s="34">
        <f t="shared" si="3"/>
        <v>363.56376</v>
      </c>
      <c r="C78" s="34">
        <f>368*(100-C$2)/100*0.97</f>
        <v>374.80799999999999</v>
      </c>
      <c r="D78" s="34">
        <f t="shared" si="4"/>
        <v>412.28880000000004</v>
      </c>
      <c r="E78" s="34">
        <f t="shared" si="5"/>
        <v>431.02919999999995</v>
      </c>
    </row>
    <row r="79" spans="1:5" ht="15" customHeight="1" outlineLevel="1" x14ac:dyDescent="0.25">
      <c r="A79" s="11" t="s">
        <v>381</v>
      </c>
      <c r="B79" s="34">
        <f t="shared" si="3"/>
        <v>374.43115499999993</v>
      </c>
      <c r="C79" s="34">
        <f>379*(100-C$2)/100*0.97</f>
        <v>386.01149999999996</v>
      </c>
      <c r="D79" s="34">
        <f t="shared" si="4"/>
        <v>424.61264999999997</v>
      </c>
      <c r="E79" s="34">
        <f t="shared" si="5"/>
        <v>443.9132249999999</v>
      </c>
    </row>
    <row r="80" spans="1:5" ht="15" customHeight="1" outlineLevel="1" x14ac:dyDescent="0.25">
      <c r="A80" s="11" t="s">
        <v>382</v>
      </c>
      <c r="B80" s="34">
        <f t="shared" si="3"/>
        <v>383.32265999999993</v>
      </c>
      <c r="C80" s="34">
        <f>388*(100-C$2)/100*0.97</f>
        <v>395.17799999999994</v>
      </c>
      <c r="D80" s="34">
        <f t="shared" si="4"/>
        <v>434.69579999999996</v>
      </c>
      <c r="E80" s="34">
        <f t="shared" si="5"/>
        <v>454.45469999999989</v>
      </c>
    </row>
    <row r="81" spans="1:5" ht="15" customHeight="1" outlineLevel="1" x14ac:dyDescent="0.25">
      <c r="A81" s="11" t="s">
        <v>383</v>
      </c>
      <c r="B81" s="34">
        <f t="shared" si="3"/>
        <v>427.78018499999996</v>
      </c>
      <c r="C81" s="34">
        <f>433*(100-C$2)/100*0.97</f>
        <v>441.01049999999998</v>
      </c>
      <c r="D81" s="34">
        <f t="shared" si="4"/>
        <v>485.11155000000002</v>
      </c>
      <c r="E81" s="34">
        <f t="shared" si="5"/>
        <v>507.16207499999996</v>
      </c>
    </row>
    <row r="82" spans="1:5" ht="15" customHeight="1" outlineLevel="1" x14ac:dyDescent="0.25">
      <c r="A82" s="11" t="s">
        <v>384</v>
      </c>
      <c r="B82" s="34">
        <f t="shared" si="3"/>
        <v>446.55114000000003</v>
      </c>
      <c r="C82" s="34">
        <f>452*(100-C$2)/100*0.97</f>
        <v>460.36200000000002</v>
      </c>
      <c r="D82" s="34">
        <f t="shared" si="4"/>
        <v>506.39820000000009</v>
      </c>
      <c r="E82" s="34">
        <f t="shared" si="5"/>
        <v>529.41629999999998</v>
      </c>
    </row>
    <row r="83" spans="1:5" ht="15" customHeight="1" outlineLevel="1" x14ac:dyDescent="0.25">
      <c r="A83" s="11" t="s">
        <v>385</v>
      </c>
      <c r="B83" s="34">
        <f t="shared" si="3"/>
        <v>486.06894</v>
      </c>
      <c r="C83" s="34">
        <f>492*(100-C$2)/100*0.97</f>
        <v>501.10200000000003</v>
      </c>
      <c r="D83" s="34">
        <f t="shared" si="4"/>
        <v>551.21220000000005</v>
      </c>
      <c r="E83" s="34">
        <f t="shared" si="5"/>
        <v>576.26729999999998</v>
      </c>
    </row>
    <row r="84" spans="1:5" ht="15" customHeight="1" outlineLevel="1" x14ac:dyDescent="0.25">
      <c r="A84" s="11" t="s">
        <v>386</v>
      </c>
      <c r="B84" s="34">
        <f t="shared" si="3"/>
        <v>514.71934499999986</v>
      </c>
      <c r="C84" s="34">
        <f>521*(100-C$2)/100*0.97</f>
        <v>530.63849999999991</v>
      </c>
      <c r="D84" s="34">
        <f t="shared" si="4"/>
        <v>583.70234999999991</v>
      </c>
      <c r="E84" s="34">
        <f t="shared" si="5"/>
        <v>610.2342749999998</v>
      </c>
    </row>
    <row r="85" spans="1:5" ht="15" customHeight="1" outlineLevel="1" x14ac:dyDescent="0.25">
      <c r="A85" s="11" t="s">
        <v>387</v>
      </c>
      <c r="B85" s="34">
        <f t="shared" si="3"/>
        <v>530.52646499999992</v>
      </c>
      <c r="C85" s="34">
        <f>537*(100-C$2)/100*0.97</f>
        <v>546.93449999999996</v>
      </c>
      <c r="D85" s="34">
        <f t="shared" si="4"/>
        <v>601.62795000000006</v>
      </c>
      <c r="E85" s="34">
        <f t="shared" si="5"/>
        <v>628.97467499999993</v>
      </c>
    </row>
    <row r="86" spans="1:5" ht="15" customHeight="1" outlineLevel="1" x14ac:dyDescent="0.25">
      <c r="A86" s="11" t="s">
        <v>388</v>
      </c>
      <c r="B86" s="34">
        <f t="shared" si="3"/>
        <v>583.93999999999994</v>
      </c>
      <c r="C86" s="34">
        <v>602</v>
      </c>
      <c r="D86" s="34">
        <f t="shared" si="4"/>
        <v>662.2</v>
      </c>
      <c r="E86" s="34">
        <f t="shared" si="5"/>
        <v>692.3</v>
      </c>
    </row>
    <row r="87" spans="1:5" ht="15" customHeight="1" outlineLevel="1" x14ac:dyDescent="0.25">
      <c r="A87" s="11" t="s">
        <v>389</v>
      </c>
      <c r="B87" s="34">
        <f t="shared" si="3"/>
        <v>667.36</v>
      </c>
      <c r="C87" s="34">
        <v>688</v>
      </c>
      <c r="D87" s="34">
        <f t="shared" si="4"/>
        <v>756.80000000000007</v>
      </c>
      <c r="E87" s="34">
        <f t="shared" si="5"/>
        <v>791.19999999999993</v>
      </c>
    </row>
    <row r="88" spans="1:5" ht="15" customHeight="1" outlineLevel="1" x14ac:dyDescent="0.25">
      <c r="A88" s="11" t="s">
        <v>390</v>
      </c>
      <c r="B88" s="34">
        <f t="shared" si="3"/>
        <v>527.56263000000001</v>
      </c>
      <c r="C88" s="34">
        <f>534*(100-C$2)/100*0.97</f>
        <v>543.87900000000002</v>
      </c>
      <c r="D88" s="34">
        <f t="shared" si="4"/>
        <v>598.26690000000008</v>
      </c>
      <c r="E88" s="34">
        <f t="shared" si="5"/>
        <v>625.46084999999994</v>
      </c>
    </row>
    <row r="89" spans="1:5" ht="15" customHeight="1" outlineLevel="1" x14ac:dyDescent="0.25">
      <c r="A89" s="11" t="s">
        <v>860</v>
      </c>
      <c r="B89" s="34">
        <f t="shared" si="3"/>
        <v>530.52646499999992</v>
      </c>
      <c r="C89" s="34">
        <f>537*(100-C$2)/100*0.97</f>
        <v>546.93449999999996</v>
      </c>
      <c r="D89" s="34">
        <f t="shared" si="4"/>
        <v>601.62795000000006</v>
      </c>
      <c r="E89" s="34">
        <f t="shared" si="5"/>
        <v>628.97467499999993</v>
      </c>
    </row>
    <row r="90" spans="1:5" ht="15" customHeight="1" outlineLevel="1" x14ac:dyDescent="0.25">
      <c r="A90" s="11" t="s">
        <v>861</v>
      </c>
      <c r="B90" s="34">
        <f t="shared" si="3"/>
        <v>532.50235499999997</v>
      </c>
      <c r="C90" s="34">
        <f>539*(100-C$2)/100*0.97</f>
        <v>548.97149999999999</v>
      </c>
      <c r="D90" s="34">
        <f t="shared" si="4"/>
        <v>603.86865</v>
      </c>
      <c r="E90" s="34">
        <f t="shared" si="5"/>
        <v>631.31722499999989</v>
      </c>
    </row>
    <row r="91" spans="1:5" ht="15" customHeight="1" outlineLevel="1" x14ac:dyDescent="0.25">
      <c r="A91" s="11" t="s">
        <v>391</v>
      </c>
      <c r="B91" s="34">
        <f t="shared" si="3"/>
        <v>549.29741999999987</v>
      </c>
      <c r="C91" s="34">
        <f>556*(100-C$2)/100*0.97</f>
        <v>566.28599999999994</v>
      </c>
      <c r="D91" s="34">
        <f t="shared" si="4"/>
        <v>622.91459999999995</v>
      </c>
      <c r="E91" s="34">
        <f t="shared" si="5"/>
        <v>651.22889999999984</v>
      </c>
    </row>
    <row r="92" spans="1:5" ht="15" customHeight="1" outlineLevel="1" x14ac:dyDescent="0.25">
      <c r="A92" s="11" t="s">
        <v>392</v>
      </c>
      <c r="B92" s="34">
        <f t="shared" si="3"/>
        <v>556.21303499999999</v>
      </c>
      <c r="C92" s="34">
        <f>563*(100-C$2)/100*0.97</f>
        <v>573.41549999999995</v>
      </c>
      <c r="D92" s="34">
        <f t="shared" si="4"/>
        <v>630.75705000000005</v>
      </c>
      <c r="E92" s="34">
        <f t="shared" si="5"/>
        <v>659.42782499999987</v>
      </c>
    </row>
    <row r="93" spans="1:5" ht="15" customHeight="1" outlineLevel="1" x14ac:dyDescent="0.25">
      <c r="A93" s="11" t="s">
        <v>393</v>
      </c>
      <c r="B93" s="34">
        <f t="shared" si="3"/>
        <v>622.40535</v>
      </c>
      <c r="C93" s="34">
        <f>630*(100-C$2)/100*0.97</f>
        <v>641.65499999999997</v>
      </c>
      <c r="D93" s="34">
        <f t="shared" si="4"/>
        <v>705.82050000000004</v>
      </c>
      <c r="E93" s="34">
        <f t="shared" si="5"/>
        <v>737.90324999999996</v>
      </c>
    </row>
    <row r="94" spans="1:5" ht="15" customHeight="1" outlineLevel="1" x14ac:dyDescent="0.25">
      <c r="A94" s="11" t="s">
        <v>394</v>
      </c>
      <c r="B94" s="34">
        <f t="shared" si="3"/>
        <v>711.32039999999995</v>
      </c>
      <c r="C94" s="34">
        <f>720*(100-C$2)/100*0.97</f>
        <v>733.31999999999994</v>
      </c>
      <c r="D94" s="34">
        <f t="shared" si="4"/>
        <v>806.65200000000004</v>
      </c>
      <c r="E94" s="34">
        <f t="shared" si="5"/>
        <v>843.31799999999987</v>
      </c>
    </row>
    <row r="95" spans="1:5" ht="15" customHeight="1" outlineLevel="1" x14ac:dyDescent="0.25">
      <c r="A95" s="11" t="s">
        <v>395</v>
      </c>
      <c r="B95" s="34">
        <f t="shared" si="3"/>
        <v>719.22395999999992</v>
      </c>
      <c r="C95" s="34">
        <f>728*(100-C$2)/100*0.97</f>
        <v>741.46799999999996</v>
      </c>
      <c r="D95" s="34">
        <f t="shared" si="4"/>
        <v>815.61480000000006</v>
      </c>
      <c r="E95" s="34">
        <f t="shared" si="5"/>
        <v>852.68819999999994</v>
      </c>
    </row>
    <row r="96" spans="1:5" ht="15" customHeight="1" outlineLevel="1" x14ac:dyDescent="0.25">
      <c r="A96" s="11" t="s">
        <v>862</v>
      </c>
      <c r="B96" s="34">
        <f t="shared" si="3"/>
        <v>724.16368499999987</v>
      </c>
      <c r="C96" s="34">
        <f>733*(100-C$2)/100*0.97</f>
        <v>746.56049999999993</v>
      </c>
      <c r="D96" s="34">
        <f t="shared" si="4"/>
        <v>821.21654999999998</v>
      </c>
      <c r="E96" s="34">
        <f t="shared" si="5"/>
        <v>858.5445749999999</v>
      </c>
    </row>
    <row r="97" spans="1:5" ht="15" customHeight="1" outlineLevel="1" x14ac:dyDescent="0.25">
      <c r="A97" s="11" t="s">
        <v>863</v>
      </c>
      <c r="B97" s="34">
        <f t="shared" si="3"/>
        <v>746.88641999999993</v>
      </c>
      <c r="C97" s="34">
        <f>756*(100-C$2)/100*0.97</f>
        <v>769.98599999999999</v>
      </c>
      <c r="D97" s="34">
        <f t="shared" si="4"/>
        <v>846.98460000000011</v>
      </c>
      <c r="E97" s="34">
        <f t="shared" si="5"/>
        <v>885.48389999999995</v>
      </c>
    </row>
    <row r="98" spans="1:5" ht="15" customHeight="1" outlineLevel="1" x14ac:dyDescent="0.25">
      <c r="A98" s="11" t="s">
        <v>396</v>
      </c>
      <c r="B98" s="34">
        <f t="shared" si="3"/>
        <v>755.77792499999998</v>
      </c>
      <c r="C98" s="34">
        <f>765*(100-C$2)/100*0.97</f>
        <v>779.15250000000003</v>
      </c>
      <c r="D98" s="34">
        <f t="shared" si="4"/>
        <v>857.06775000000016</v>
      </c>
      <c r="E98" s="34">
        <f t="shared" si="5"/>
        <v>896.02537499999994</v>
      </c>
    </row>
    <row r="99" spans="1:5" ht="15" customHeight="1" outlineLevel="1" x14ac:dyDescent="0.25">
      <c r="A99" s="11" t="s">
        <v>397</v>
      </c>
      <c r="B99" s="34">
        <f t="shared" si="3"/>
        <v>694.52533499999993</v>
      </c>
      <c r="C99" s="34">
        <f>703*(100-C$2)/100*0.97</f>
        <v>716.00549999999998</v>
      </c>
      <c r="D99" s="34">
        <f t="shared" si="4"/>
        <v>787.6060500000001</v>
      </c>
      <c r="E99" s="34">
        <f t="shared" si="5"/>
        <v>823.40632499999992</v>
      </c>
    </row>
    <row r="100" spans="1:5" ht="15" customHeight="1" outlineLevel="1" x14ac:dyDescent="0.25">
      <c r="A100" s="11" t="s">
        <v>398</v>
      </c>
      <c r="B100" s="34">
        <f t="shared" si="3"/>
        <v>859.51215000000002</v>
      </c>
      <c r="C100" s="34">
        <f>870*(100-C$2)/100*0.97</f>
        <v>886.09500000000003</v>
      </c>
      <c r="D100" s="34">
        <f t="shared" si="4"/>
        <v>974.70450000000005</v>
      </c>
      <c r="E100" s="34">
        <f t="shared" si="5"/>
        <v>1019.00925</v>
      </c>
    </row>
    <row r="101" spans="1:5" ht="15" customHeight="1" outlineLevel="1" x14ac:dyDescent="0.25">
      <c r="A101" s="11" t="s">
        <v>399</v>
      </c>
      <c r="B101" s="34">
        <f t="shared" si="3"/>
        <v>968.18610000000001</v>
      </c>
      <c r="C101" s="34">
        <f>980*(100-C$2)/100*0.97</f>
        <v>998.13</v>
      </c>
      <c r="D101" s="34">
        <f t="shared" si="4"/>
        <v>1097.943</v>
      </c>
      <c r="E101" s="34">
        <f t="shared" si="5"/>
        <v>1147.8494999999998</v>
      </c>
    </row>
    <row r="102" spans="1:5" ht="15" customHeight="1" outlineLevel="1" x14ac:dyDescent="0.25">
      <c r="A102" s="11" t="s">
        <v>400</v>
      </c>
      <c r="B102" s="34">
        <f t="shared" si="3"/>
        <v>830.86174499999993</v>
      </c>
      <c r="C102" s="34">
        <f>841*(100-C$2)/100*0.97</f>
        <v>856.55849999999998</v>
      </c>
      <c r="D102" s="34">
        <f t="shared" si="4"/>
        <v>942.21435000000008</v>
      </c>
      <c r="E102" s="34">
        <f t="shared" si="5"/>
        <v>985.0422749999999</v>
      </c>
    </row>
    <row r="103" spans="1:5" ht="15" customHeight="1" outlineLevel="1" x14ac:dyDescent="0.25">
      <c r="A103" s="11" t="s">
        <v>864</v>
      </c>
      <c r="B103" s="34">
        <f t="shared" si="3"/>
        <v>878.28310499999998</v>
      </c>
      <c r="C103" s="34">
        <f>889*(100-C$2)/100*0.97</f>
        <v>905.44650000000001</v>
      </c>
      <c r="D103" s="34">
        <f t="shared" si="4"/>
        <v>995.99115000000006</v>
      </c>
      <c r="E103" s="34">
        <f t="shared" si="5"/>
        <v>1041.263475</v>
      </c>
    </row>
    <row r="104" spans="1:5" ht="15" customHeight="1" outlineLevel="1" x14ac:dyDescent="0.25">
      <c r="A104" s="11" t="s">
        <v>865</v>
      </c>
      <c r="B104" s="34">
        <f t="shared" si="3"/>
        <v>887.17460999999992</v>
      </c>
      <c r="C104" s="34">
        <f>898*(100-C$2)/100*0.97</f>
        <v>914.61299999999994</v>
      </c>
      <c r="D104" s="34">
        <f t="shared" si="4"/>
        <v>1006.0743</v>
      </c>
      <c r="E104" s="34">
        <f t="shared" si="5"/>
        <v>1051.80495</v>
      </c>
    </row>
    <row r="105" spans="1:5" ht="15" customHeight="1" outlineLevel="1" x14ac:dyDescent="0.25">
      <c r="A105" s="11" t="s">
        <v>401</v>
      </c>
      <c r="B105" s="34">
        <f t="shared" si="3"/>
        <v>892.11433499999987</v>
      </c>
      <c r="C105" s="34">
        <f>903*(100-C$2)/100*0.97</f>
        <v>919.70549999999992</v>
      </c>
      <c r="D105" s="34">
        <f t="shared" si="4"/>
        <v>1011.67605</v>
      </c>
      <c r="E105" s="34">
        <f t="shared" si="5"/>
        <v>1057.6613249999998</v>
      </c>
    </row>
    <row r="106" spans="1:5" ht="15" customHeight="1" outlineLevel="1" x14ac:dyDescent="0.25">
      <c r="A106" s="11" t="s">
        <v>402</v>
      </c>
      <c r="B106" s="34">
        <f t="shared" si="3"/>
        <v>940.52363999999989</v>
      </c>
      <c r="C106" s="34">
        <f>952*(100-C$2)/100*0.97</f>
        <v>969.61199999999997</v>
      </c>
      <c r="D106" s="34">
        <f t="shared" si="4"/>
        <v>1066.5732</v>
      </c>
      <c r="E106" s="34">
        <f t="shared" si="5"/>
        <v>1115.0537999999999</v>
      </c>
    </row>
    <row r="107" spans="1:5" ht="15" customHeight="1" outlineLevel="1" x14ac:dyDescent="0.25">
      <c r="A107" s="11" t="s">
        <v>403</v>
      </c>
      <c r="B107" s="34">
        <f t="shared" si="3"/>
        <v>968.18610000000001</v>
      </c>
      <c r="C107" s="34">
        <f>980*(100-C$2)/100*0.97</f>
        <v>998.13</v>
      </c>
      <c r="D107" s="34">
        <f t="shared" si="4"/>
        <v>1097.943</v>
      </c>
      <c r="E107" s="34">
        <f t="shared" si="5"/>
        <v>1147.8494999999998</v>
      </c>
    </row>
    <row r="108" spans="1:5" ht="15" customHeight="1" outlineLevel="1" x14ac:dyDescent="0.25">
      <c r="A108" s="11" t="s">
        <v>404</v>
      </c>
      <c r="B108" s="34">
        <f t="shared" si="3"/>
        <v>992.88472499999989</v>
      </c>
      <c r="C108" s="34">
        <f>1005*(100-C$2)/100*0.97</f>
        <v>1023.5925</v>
      </c>
      <c r="D108" s="34">
        <f t="shared" si="4"/>
        <v>1125.9517500000002</v>
      </c>
      <c r="E108" s="34">
        <f t="shared" si="5"/>
        <v>1177.1313749999999</v>
      </c>
    </row>
    <row r="109" spans="1:5" ht="20.100000000000001" customHeight="1" outlineLevel="1" x14ac:dyDescent="0.25">
      <c r="A109" s="167" t="s">
        <v>1022</v>
      </c>
      <c r="B109" s="168"/>
      <c r="C109" s="168"/>
      <c r="D109" s="168"/>
      <c r="E109" s="169"/>
    </row>
    <row r="110" spans="1:5" ht="15" customHeight="1" outlineLevel="1" x14ac:dyDescent="0.25">
      <c r="A110" s="11" t="s">
        <v>405</v>
      </c>
      <c r="B110" s="34">
        <f t="shared" si="3"/>
        <v>81.011489999999995</v>
      </c>
      <c r="C110" s="34">
        <f>82*(100-C$2)/100*0.97</f>
        <v>83.516999999999996</v>
      </c>
      <c r="D110" s="34">
        <f t="shared" si="4"/>
        <v>91.868700000000004</v>
      </c>
      <c r="E110" s="34">
        <f t="shared" si="5"/>
        <v>96.044549999999987</v>
      </c>
    </row>
    <row r="111" spans="1:5" ht="15" customHeight="1" outlineLevel="1" x14ac:dyDescent="0.25">
      <c r="A111" s="11" t="s">
        <v>976</v>
      </c>
      <c r="B111" s="34">
        <f t="shared" si="3"/>
        <v>81.999434999999991</v>
      </c>
      <c r="C111" s="34">
        <f>83*(100-C$2)/100*0.97</f>
        <v>84.535499999999999</v>
      </c>
      <c r="D111" s="34">
        <f t="shared" si="4"/>
        <v>92.989050000000006</v>
      </c>
      <c r="E111" s="34">
        <f t="shared" si="5"/>
        <v>97.215824999999995</v>
      </c>
    </row>
    <row r="112" spans="1:5" ht="15" customHeight="1" outlineLevel="1" x14ac:dyDescent="0.25">
      <c r="A112" s="11" t="s">
        <v>406</v>
      </c>
      <c r="B112" s="34">
        <f t="shared" si="3"/>
        <v>89.90299499999999</v>
      </c>
      <c r="C112" s="34">
        <f>91*(100-C$2)/100*0.97</f>
        <v>92.683499999999995</v>
      </c>
      <c r="D112" s="34">
        <f t="shared" si="4"/>
        <v>101.95185000000001</v>
      </c>
      <c r="E112" s="34">
        <f t="shared" si="5"/>
        <v>106.58602499999999</v>
      </c>
    </row>
    <row r="113" spans="1:5" ht="15" customHeight="1" outlineLevel="1" x14ac:dyDescent="0.25">
      <c r="A113" s="11" t="s">
        <v>407</v>
      </c>
      <c r="B113" s="34">
        <f t="shared" si="3"/>
        <v>104.72216999999999</v>
      </c>
      <c r="C113" s="34">
        <f>106*(100-C$2)/100*0.97</f>
        <v>107.961</v>
      </c>
      <c r="D113" s="34">
        <f t="shared" si="4"/>
        <v>118.75710000000001</v>
      </c>
      <c r="E113" s="34">
        <f t="shared" si="5"/>
        <v>124.15514999999999</v>
      </c>
    </row>
    <row r="114" spans="1:5" ht="15" customHeight="1" outlineLevel="1" x14ac:dyDescent="0.25">
      <c r="A114" s="11" t="s">
        <v>408</v>
      </c>
      <c r="B114" s="34">
        <f t="shared" si="3"/>
        <v>124.48107000000002</v>
      </c>
      <c r="C114" s="34">
        <f>126*(100-C$2)/100*0.97</f>
        <v>128.33100000000002</v>
      </c>
      <c r="D114" s="34">
        <f t="shared" si="4"/>
        <v>141.16410000000002</v>
      </c>
      <c r="E114" s="34">
        <f t="shared" si="5"/>
        <v>147.58065000000002</v>
      </c>
    </row>
    <row r="115" spans="1:5" ht="15" customHeight="1" outlineLevel="1" x14ac:dyDescent="0.25">
      <c r="A115" s="11" t="s">
        <v>409</v>
      </c>
      <c r="B115" s="34">
        <f t="shared" si="3"/>
        <v>143.252025</v>
      </c>
      <c r="C115" s="34">
        <f>145*(100-C$2)/100*0.97</f>
        <v>147.6825</v>
      </c>
      <c r="D115" s="34">
        <f t="shared" si="4"/>
        <v>162.45075000000003</v>
      </c>
      <c r="E115" s="34">
        <f t="shared" si="5"/>
        <v>169.83487499999998</v>
      </c>
    </row>
    <row r="116" spans="1:5" ht="15" customHeight="1" outlineLevel="1" x14ac:dyDescent="0.25">
      <c r="A116" s="11" t="s">
        <v>410</v>
      </c>
      <c r="B116" s="34">
        <f t="shared" si="3"/>
        <v>170.91448500000001</v>
      </c>
      <c r="C116" s="34">
        <f>173*(100-C$2)/100*0.97</f>
        <v>176.20050000000001</v>
      </c>
      <c r="D116" s="34">
        <f t="shared" si="4"/>
        <v>193.82055000000003</v>
      </c>
      <c r="E116" s="34">
        <f t="shared" si="5"/>
        <v>202.63057499999999</v>
      </c>
    </row>
    <row r="117" spans="1:5" ht="15" customHeight="1" outlineLevel="1" x14ac:dyDescent="0.25">
      <c r="A117" s="11" t="s">
        <v>411</v>
      </c>
      <c r="B117" s="34">
        <f t="shared" si="3"/>
        <v>201.54077999999996</v>
      </c>
      <c r="C117" s="34">
        <f>204*(100-C$2)/100*0.97</f>
        <v>207.77399999999997</v>
      </c>
      <c r="D117" s="34">
        <f t="shared" si="4"/>
        <v>228.5514</v>
      </c>
      <c r="E117" s="34">
        <f t="shared" si="5"/>
        <v>238.94009999999994</v>
      </c>
    </row>
    <row r="118" spans="1:5" ht="15" customHeight="1" outlineLevel="1" x14ac:dyDescent="0.25">
      <c r="A118" s="11" t="s">
        <v>412</v>
      </c>
      <c r="B118" s="34">
        <f t="shared" si="3"/>
        <v>322.07006999999999</v>
      </c>
      <c r="C118" s="34">
        <f>326*(100-C$2)/100*0.97</f>
        <v>332.03100000000001</v>
      </c>
      <c r="D118" s="34">
        <f t="shared" si="4"/>
        <v>365.23410000000001</v>
      </c>
      <c r="E118" s="34">
        <f t="shared" si="5"/>
        <v>381.83564999999999</v>
      </c>
    </row>
    <row r="119" spans="1:5" ht="20.100000000000001" customHeight="1" outlineLevel="1" x14ac:dyDescent="0.25">
      <c r="A119" s="167" t="s">
        <v>980</v>
      </c>
      <c r="B119" s="168"/>
      <c r="C119" s="168"/>
      <c r="D119" s="168"/>
      <c r="E119" s="169"/>
    </row>
    <row r="120" spans="1:5" ht="15" customHeight="1" outlineLevel="1" x14ac:dyDescent="0.25">
      <c r="A120" s="11" t="s">
        <v>845</v>
      </c>
      <c r="B120" s="35">
        <f t="shared" si="3"/>
        <v>285.18</v>
      </c>
      <c r="C120" s="35">
        <f>280*(100-C$2)/100</f>
        <v>294</v>
      </c>
      <c r="D120" s="35">
        <f t="shared" si="4"/>
        <v>323.40000000000003</v>
      </c>
      <c r="E120" s="35">
        <f t="shared" si="5"/>
        <v>338.09999999999997</v>
      </c>
    </row>
    <row r="121" spans="1:5" ht="15" customHeight="1" outlineLevel="1" x14ac:dyDescent="0.25">
      <c r="A121" s="11" t="s">
        <v>413</v>
      </c>
      <c r="B121" s="35">
        <f t="shared" si="3"/>
        <v>290.27249999999998</v>
      </c>
      <c r="C121" s="35">
        <f>285*(100-C$2)/100</f>
        <v>299.25</v>
      </c>
      <c r="D121" s="35">
        <f t="shared" si="4"/>
        <v>329.17500000000001</v>
      </c>
      <c r="E121" s="35">
        <f t="shared" si="5"/>
        <v>344.13749999999999</v>
      </c>
    </row>
    <row r="122" spans="1:5" ht="15" customHeight="1" outlineLevel="1" x14ac:dyDescent="0.25">
      <c r="A122" s="11" t="s">
        <v>846</v>
      </c>
      <c r="B122" s="35">
        <f t="shared" si="3"/>
        <v>300.45749999999998</v>
      </c>
      <c r="C122" s="35">
        <f>295*(100-C$2)/100</f>
        <v>309.75</v>
      </c>
      <c r="D122" s="35">
        <f t="shared" si="4"/>
        <v>340.72500000000002</v>
      </c>
      <c r="E122" s="35">
        <f t="shared" si="5"/>
        <v>356.21249999999998</v>
      </c>
    </row>
    <row r="123" spans="1:5" ht="15" customHeight="1" outlineLevel="1" x14ac:dyDescent="0.25">
      <c r="A123" s="11" t="s">
        <v>847</v>
      </c>
      <c r="B123" s="35">
        <f t="shared" si="3"/>
        <v>287.21700000000004</v>
      </c>
      <c r="C123" s="35">
        <f>282*(100-C$2)/100</f>
        <v>296.10000000000002</v>
      </c>
      <c r="D123" s="35">
        <f t="shared" si="4"/>
        <v>325.71000000000004</v>
      </c>
      <c r="E123" s="35">
        <f t="shared" si="5"/>
        <v>340.51499999999999</v>
      </c>
    </row>
    <row r="124" spans="1:5" ht="15" customHeight="1" outlineLevel="1" x14ac:dyDescent="0.25">
      <c r="A124" s="11" t="s">
        <v>414</v>
      </c>
      <c r="B124" s="35">
        <f t="shared" si="3"/>
        <v>295.36500000000001</v>
      </c>
      <c r="C124" s="35">
        <f>290*(100-C$2)/100</f>
        <v>304.5</v>
      </c>
      <c r="D124" s="35">
        <f t="shared" si="4"/>
        <v>334.95000000000005</v>
      </c>
      <c r="E124" s="35">
        <f t="shared" si="5"/>
        <v>350.17499999999995</v>
      </c>
    </row>
    <row r="125" spans="1:5" ht="15" customHeight="1" outlineLevel="1" x14ac:dyDescent="0.25">
      <c r="A125" s="11" t="s">
        <v>848</v>
      </c>
      <c r="B125" s="35">
        <f t="shared" si="3"/>
        <v>298.42049999999995</v>
      </c>
      <c r="C125" s="35">
        <f>293*(100-C$2)/100</f>
        <v>307.64999999999998</v>
      </c>
      <c r="D125" s="35">
        <f t="shared" si="4"/>
        <v>338.41500000000002</v>
      </c>
      <c r="E125" s="35">
        <f t="shared" si="5"/>
        <v>353.79749999999996</v>
      </c>
    </row>
    <row r="126" spans="1:5" ht="15" customHeight="1" outlineLevel="1" x14ac:dyDescent="0.25">
      <c r="A126" s="11" t="s">
        <v>849</v>
      </c>
      <c r="B126" s="35">
        <f t="shared" si="3"/>
        <v>299.43899999999996</v>
      </c>
      <c r="C126" s="35">
        <f>294*(100-C$2)/100</f>
        <v>308.7</v>
      </c>
      <c r="D126" s="35">
        <f t="shared" si="4"/>
        <v>339.57</v>
      </c>
      <c r="E126" s="35">
        <f t="shared" si="5"/>
        <v>355.00499999999994</v>
      </c>
    </row>
    <row r="127" spans="1:5" ht="15" customHeight="1" outlineLevel="1" x14ac:dyDescent="0.25">
      <c r="A127" s="11" t="s">
        <v>415</v>
      </c>
      <c r="B127" s="35">
        <f t="shared" si="3"/>
        <v>315.73500000000001</v>
      </c>
      <c r="C127" s="35">
        <f>310*(100-C$2)/100</f>
        <v>325.5</v>
      </c>
      <c r="D127" s="35">
        <f t="shared" si="4"/>
        <v>358.05</v>
      </c>
      <c r="E127" s="35">
        <f t="shared" si="5"/>
        <v>374.32499999999999</v>
      </c>
    </row>
    <row r="128" spans="1:5" ht="15" customHeight="1" outlineLevel="1" x14ac:dyDescent="0.25">
      <c r="A128" s="11" t="s">
        <v>416</v>
      </c>
      <c r="B128" s="35">
        <f t="shared" si="3"/>
        <v>331.01249999999999</v>
      </c>
      <c r="C128" s="35">
        <f>325*(100-C$2)/100</f>
        <v>341.25</v>
      </c>
      <c r="D128" s="35">
        <f t="shared" si="4"/>
        <v>375.37500000000006</v>
      </c>
      <c r="E128" s="35">
        <f t="shared" si="5"/>
        <v>392.43749999999994</v>
      </c>
    </row>
    <row r="129" spans="1:5" ht="15" customHeight="1" outlineLevel="1" x14ac:dyDescent="0.25">
      <c r="A129" s="11" t="s">
        <v>417</v>
      </c>
      <c r="B129" s="35">
        <f t="shared" si="3"/>
        <v>302.49450000000002</v>
      </c>
      <c r="C129" s="35">
        <f>297*(100-C$2)/100</f>
        <v>311.85000000000002</v>
      </c>
      <c r="D129" s="35">
        <f t="shared" si="4"/>
        <v>343.03500000000003</v>
      </c>
      <c r="E129" s="35">
        <f t="shared" si="5"/>
        <v>358.6275</v>
      </c>
    </row>
    <row r="130" spans="1:5" ht="15" customHeight="1" outlineLevel="1" x14ac:dyDescent="0.25">
      <c r="A130" s="11" t="s">
        <v>418</v>
      </c>
      <c r="B130" s="35">
        <f t="shared" si="3"/>
        <v>322.86450000000002</v>
      </c>
      <c r="C130" s="35">
        <f>317*(100-C$2)/100</f>
        <v>332.85</v>
      </c>
      <c r="D130" s="35">
        <f t="shared" si="4"/>
        <v>366.13500000000005</v>
      </c>
      <c r="E130" s="35">
        <f t="shared" si="5"/>
        <v>382.77749999999997</v>
      </c>
    </row>
    <row r="131" spans="1:5" ht="15" customHeight="1" outlineLevel="1" x14ac:dyDescent="0.25">
      <c r="A131" s="11" t="s">
        <v>419</v>
      </c>
      <c r="B131" s="35">
        <f t="shared" si="3"/>
        <v>340.17899999999997</v>
      </c>
      <c r="C131" s="35">
        <f>334*(100-C$2)/100</f>
        <v>350.7</v>
      </c>
      <c r="D131" s="35">
        <f t="shared" si="4"/>
        <v>385.77000000000004</v>
      </c>
      <c r="E131" s="35">
        <f t="shared" si="5"/>
        <v>403.30499999999995</v>
      </c>
    </row>
    <row r="132" spans="1:5" ht="15" customHeight="1" outlineLevel="1" x14ac:dyDescent="0.25">
      <c r="A132" s="11" t="s">
        <v>420</v>
      </c>
      <c r="B132" s="35">
        <f t="shared" si="3"/>
        <v>386.01149999999996</v>
      </c>
      <c r="C132" s="35">
        <f>379*(100-C$2)/100</f>
        <v>397.95</v>
      </c>
      <c r="D132" s="35">
        <f t="shared" si="4"/>
        <v>437.745</v>
      </c>
      <c r="E132" s="35">
        <f t="shared" si="5"/>
        <v>457.64249999999993</v>
      </c>
    </row>
    <row r="133" spans="1:5" ht="15" customHeight="1" outlineLevel="1" x14ac:dyDescent="0.25">
      <c r="A133" s="11" t="s">
        <v>421</v>
      </c>
      <c r="B133" s="35">
        <f t="shared" ref="B133:B195" si="6">C133*0.97</f>
        <v>307.58699999999999</v>
      </c>
      <c r="C133" s="35">
        <f>302*(100-C$2)/100</f>
        <v>317.10000000000002</v>
      </c>
      <c r="D133" s="35">
        <f t="shared" ref="D133:D195" si="7">C133*1.1</f>
        <v>348.81000000000006</v>
      </c>
      <c r="E133" s="35">
        <f t="shared" ref="E133:E195" si="8">C133*1.15</f>
        <v>364.66500000000002</v>
      </c>
    </row>
    <row r="134" spans="1:5" ht="15" customHeight="1" outlineLevel="1" x14ac:dyDescent="0.25">
      <c r="A134" s="11" t="s">
        <v>866</v>
      </c>
      <c r="B134" s="35">
        <f t="shared" si="6"/>
        <v>315.73500000000001</v>
      </c>
      <c r="C134" s="35">
        <f>310*(100-C$2)/100</f>
        <v>325.5</v>
      </c>
      <c r="D134" s="35">
        <f t="shared" si="7"/>
        <v>358.05</v>
      </c>
      <c r="E134" s="35">
        <f t="shared" si="8"/>
        <v>374.32499999999999</v>
      </c>
    </row>
    <row r="135" spans="1:5" ht="15" customHeight="1" outlineLevel="1" x14ac:dyDescent="0.25">
      <c r="A135" s="11" t="s">
        <v>867</v>
      </c>
      <c r="B135" s="35">
        <f t="shared" si="6"/>
        <v>316.75349999999997</v>
      </c>
      <c r="C135" s="35">
        <f>311*(100-C$2)/100</f>
        <v>326.55</v>
      </c>
      <c r="D135" s="35">
        <f t="shared" si="7"/>
        <v>359.20500000000004</v>
      </c>
      <c r="E135" s="35">
        <f t="shared" si="8"/>
        <v>375.53249999999997</v>
      </c>
    </row>
    <row r="136" spans="1:5" ht="15" customHeight="1" outlineLevel="1" x14ac:dyDescent="0.25">
      <c r="A136" s="11" t="s">
        <v>422</v>
      </c>
      <c r="B136" s="35">
        <f t="shared" si="6"/>
        <v>328.97549999999995</v>
      </c>
      <c r="C136" s="35">
        <f>323*(100-C$2)/100</f>
        <v>339.15</v>
      </c>
      <c r="D136" s="35">
        <f t="shared" si="7"/>
        <v>373.065</v>
      </c>
      <c r="E136" s="35">
        <f t="shared" si="8"/>
        <v>390.02249999999992</v>
      </c>
    </row>
    <row r="137" spans="1:5" ht="15" customHeight="1" outlineLevel="1" x14ac:dyDescent="0.25">
      <c r="A137" s="11" t="s">
        <v>423</v>
      </c>
      <c r="B137" s="35">
        <f t="shared" si="6"/>
        <v>348.327</v>
      </c>
      <c r="C137" s="35">
        <f>342*(100-C$2)/100</f>
        <v>359.1</v>
      </c>
      <c r="D137" s="35">
        <f t="shared" si="7"/>
        <v>395.01000000000005</v>
      </c>
      <c r="E137" s="35">
        <f t="shared" si="8"/>
        <v>412.96499999999997</v>
      </c>
    </row>
    <row r="138" spans="1:5" ht="15" customHeight="1" outlineLevel="1" x14ac:dyDescent="0.25">
      <c r="A138" s="11" t="s">
        <v>424</v>
      </c>
      <c r="B138" s="35">
        <f t="shared" si="6"/>
        <v>405.36299999999994</v>
      </c>
      <c r="C138" s="35">
        <f>398*(100-C$2)/100</f>
        <v>417.9</v>
      </c>
      <c r="D138" s="35">
        <f t="shared" si="7"/>
        <v>459.69</v>
      </c>
      <c r="E138" s="35">
        <f t="shared" si="8"/>
        <v>480.58499999999992</v>
      </c>
    </row>
    <row r="139" spans="1:5" ht="15" customHeight="1" outlineLevel="1" x14ac:dyDescent="0.25">
      <c r="A139" s="11" t="s">
        <v>425</v>
      </c>
      <c r="B139" s="35">
        <f t="shared" si="6"/>
        <v>454.25099999999998</v>
      </c>
      <c r="C139" s="35">
        <f>446*(100-C$2)/100</f>
        <v>468.3</v>
      </c>
      <c r="D139" s="35">
        <f t="shared" si="7"/>
        <v>515.13000000000011</v>
      </c>
      <c r="E139" s="35">
        <f t="shared" si="8"/>
        <v>538.54499999999996</v>
      </c>
    </row>
    <row r="140" spans="1:5" ht="15" customHeight="1" outlineLevel="1" x14ac:dyDescent="0.25">
      <c r="A140" s="11" t="s">
        <v>426</v>
      </c>
      <c r="B140" s="35">
        <f t="shared" si="6"/>
        <v>423.69600000000003</v>
      </c>
      <c r="C140" s="35">
        <f>416*(100-C$2)/100</f>
        <v>436.8</v>
      </c>
      <c r="D140" s="35">
        <f t="shared" si="7"/>
        <v>480.48000000000008</v>
      </c>
      <c r="E140" s="35">
        <f t="shared" si="8"/>
        <v>502.32</v>
      </c>
    </row>
    <row r="141" spans="1:5" ht="15" customHeight="1" outlineLevel="1" x14ac:dyDescent="0.25">
      <c r="A141" s="11" t="s">
        <v>427</v>
      </c>
      <c r="B141" s="35">
        <f t="shared" si="6"/>
        <v>439.99200000000002</v>
      </c>
      <c r="C141" s="35">
        <f>432*(100-C$2)/100</f>
        <v>453.6</v>
      </c>
      <c r="D141" s="35">
        <f t="shared" si="7"/>
        <v>498.96000000000009</v>
      </c>
      <c r="E141" s="35">
        <f t="shared" si="8"/>
        <v>521.64</v>
      </c>
    </row>
    <row r="142" spans="1:5" ht="15" customHeight="1" outlineLevel="1" x14ac:dyDescent="0.25">
      <c r="A142" s="11" t="s">
        <v>428</v>
      </c>
      <c r="B142" s="35">
        <f t="shared" si="6"/>
        <v>468.51</v>
      </c>
      <c r="C142" s="35">
        <f>460*(100-C$2)/100</f>
        <v>483</v>
      </c>
      <c r="D142" s="35">
        <f t="shared" si="7"/>
        <v>531.30000000000007</v>
      </c>
      <c r="E142" s="35">
        <f t="shared" si="8"/>
        <v>555.44999999999993</v>
      </c>
    </row>
    <row r="143" spans="1:5" ht="15" customHeight="1" outlineLevel="1" x14ac:dyDescent="0.25">
      <c r="A143" s="11" t="s">
        <v>429</v>
      </c>
      <c r="B143" s="35">
        <f t="shared" si="6"/>
        <v>514.34249999999997</v>
      </c>
      <c r="C143" s="35">
        <f>505*(100-C$2)/100</f>
        <v>530.25</v>
      </c>
      <c r="D143" s="35">
        <f t="shared" si="7"/>
        <v>583.27500000000009</v>
      </c>
      <c r="E143" s="35">
        <f t="shared" si="8"/>
        <v>609.78749999999991</v>
      </c>
    </row>
    <row r="144" spans="1:5" ht="15" customHeight="1" outlineLevel="1" x14ac:dyDescent="0.25">
      <c r="A144" s="11" t="s">
        <v>430</v>
      </c>
      <c r="B144" s="35">
        <f t="shared" si="6"/>
        <v>564.24900000000002</v>
      </c>
      <c r="C144" s="35">
        <f>554*(100-C$2)/100</f>
        <v>581.70000000000005</v>
      </c>
      <c r="D144" s="35">
        <f t="shared" si="7"/>
        <v>639.87000000000012</v>
      </c>
      <c r="E144" s="35">
        <f t="shared" si="8"/>
        <v>668.95500000000004</v>
      </c>
    </row>
    <row r="145" spans="1:5" ht="15" customHeight="1" outlineLevel="1" x14ac:dyDescent="0.25">
      <c r="A145" s="11" t="s">
        <v>431</v>
      </c>
      <c r="B145" s="35">
        <f t="shared" si="6"/>
        <v>429.80700000000002</v>
      </c>
      <c r="C145" s="35">
        <f>422*(100-C$2)/100</f>
        <v>443.1</v>
      </c>
      <c r="D145" s="35">
        <f t="shared" si="7"/>
        <v>487.41000000000008</v>
      </c>
      <c r="E145" s="35">
        <f t="shared" si="8"/>
        <v>509.565</v>
      </c>
    </row>
    <row r="146" spans="1:5" ht="15" customHeight="1" outlineLevel="1" x14ac:dyDescent="0.25">
      <c r="A146" s="11" t="s">
        <v>868</v>
      </c>
      <c r="B146" s="35">
        <f t="shared" si="6"/>
        <v>432.86250000000001</v>
      </c>
      <c r="C146" s="35">
        <f>425*(100-C$2)/100</f>
        <v>446.25</v>
      </c>
      <c r="D146" s="35">
        <f t="shared" si="7"/>
        <v>490.87500000000006</v>
      </c>
      <c r="E146" s="35">
        <f t="shared" si="8"/>
        <v>513.1875</v>
      </c>
    </row>
    <row r="147" spans="1:5" ht="15" customHeight="1" outlineLevel="1" x14ac:dyDescent="0.25">
      <c r="A147" s="11" t="s">
        <v>869</v>
      </c>
      <c r="B147" s="35">
        <f t="shared" si="6"/>
        <v>435.91799999999995</v>
      </c>
      <c r="C147" s="35">
        <f>428*(100-C$2)/100</f>
        <v>449.4</v>
      </c>
      <c r="D147" s="35">
        <f t="shared" si="7"/>
        <v>494.34000000000003</v>
      </c>
      <c r="E147" s="35">
        <f t="shared" si="8"/>
        <v>516.80999999999995</v>
      </c>
    </row>
    <row r="148" spans="1:5" ht="15" customHeight="1" outlineLevel="1" x14ac:dyDescent="0.25">
      <c r="A148" s="11" t="s">
        <v>432</v>
      </c>
      <c r="B148" s="35">
        <f t="shared" si="6"/>
        <v>454.25099999999998</v>
      </c>
      <c r="C148" s="35">
        <f>446*(100-C$2)/100</f>
        <v>468.3</v>
      </c>
      <c r="D148" s="35">
        <f t="shared" si="7"/>
        <v>515.13000000000011</v>
      </c>
      <c r="E148" s="35">
        <f t="shared" si="8"/>
        <v>538.54499999999996</v>
      </c>
    </row>
    <row r="149" spans="1:5" ht="15" customHeight="1" outlineLevel="1" x14ac:dyDescent="0.25">
      <c r="A149" s="11" t="s">
        <v>433</v>
      </c>
      <c r="B149" s="35">
        <f t="shared" si="6"/>
        <v>478.69499999999999</v>
      </c>
      <c r="C149" s="35">
        <f>470*(100-C$2)/100</f>
        <v>493.5</v>
      </c>
      <c r="D149" s="35">
        <f t="shared" si="7"/>
        <v>542.85</v>
      </c>
      <c r="E149" s="35">
        <f t="shared" si="8"/>
        <v>567.52499999999998</v>
      </c>
    </row>
    <row r="150" spans="1:5" ht="15" customHeight="1" outlineLevel="1" x14ac:dyDescent="0.25">
      <c r="A150" s="11" t="s">
        <v>434</v>
      </c>
      <c r="B150" s="35">
        <f t="shared" si="6"/>
        <v>526.56449999999995</v>
      </c>
      <c r="C150" s="35">
        <f>517*(100-C$2)/100</f>
        <v>542.85</v>
      </c>
      <c r="D150" s="35">
        <f t="shared" si="7"/>
        <v>597.1350000000001</v>
      </c>
      <c r="E150" s="35">
        <f t="shared" si="8"/>
        <v>624.27750000000003</v>
      </c>
    </row>
    <row r="151" spans="1:5" ht="15" customHeight="1" outlineLevel="1" x14ac:dyDescent="0.25">
      <c r="A151" s="11" t="s">
        <v>435</v>
      </c>
      <c r="B151" s="35">
        <f t="shared" si="6"/>
        <v>590.73</v>
      </c>
      <c r="C151" s="35">
        <f>580*(100-C$2)/100</f>
        <v>609</v>
      </c>
      <c r="D151" s="35">
        <f t="shared" si="7"/>
        <v>669.90000000000009</v>
      </c>
      <c r="E151" s="35">
        <f t="shared" si="8"/>
        <v>700.34999999999991</v>
      </c>
    </row>
    <row r="152" spans="1:5" ht="15" customHeight="1" outlineLevel="1" x14ac:dyDescent="0.25">
      <c r="A152" s="11" t="s">
        <v>436</v>
      </c>
      <c r="B152" s="35">
        <f t="shared" si="6"/>
        <v>538.78650000000005</v>
      </c>
      <c r="C152" s="35">
        <f>529*(100-C$2)/100</f>
        <v>555.45000000000005</v>
      </c>
      <c r="D152" s="35">
        <f t="shared" si="7"/>
        <v>610.99500000000012</v>
      </c>
      <c r="E152" s="35">
        <f t="shared" si="8"/>
        <v>638.76750000000004</v>
      </c>
    </row>
    <row r="153" spans="1:5" ht="15" customHeight="1" outlineLevel="1" x14ac:dyDescent="0.25">
      <c r="A153" s="11" t="s">
        <v>870</v>
      </c>
      <c r="B153" s="35">
        <f t="shared" si="6"/>
        <v>556.10099999999989</v>
      </c>
      <c r="C153" s="35">
        <f>546*(100-C$2)/100</f>
        <v>573.29999999999995</v>
      </c>
      <c r="D153" s="35">
        <f t="shared" si="7"/>
        <v>630.63</v>
      </c>
      <c r="E153" s="35">
        <f t="shared" si="8"/>
        <v>659.29499999999985</v>
      </c>
    </row>
    <row r="154" spans="1:5" ht="15" customHeight="1" outlineLevel="1" x14ac:dyDescent="0.25">
      <c r="A154" s="11" t="s">
        <v>871</v>
      </c>
      <c r="B154" s="35">
        <f t="shared" si="6"/>
        <v>557.11950000000002</v>
      </c>
      <c r="C154" s="35">
        <f>547*(100-C$2)/100</f>
        <v>574.35</v>
      </c>
      <c r="D154" s="35">
        <f t="shared" si="7"/>
        <v>631.78500000000008</v>
      </c>
      <c r="E154" s="35">
        <f t="shared" si="8"/>
        <v>660.50249999999994</v>
      </c>
    </row>
    <row r="155" spans="1:5" ht="15" customHeight="1" outlineLevel="1" x14ac:dyDescent="0.25">
      <c r="A155" s="11" t="s">
        <v>437</v>
      </c>
      <c r="B155" s="35">
        <f t="shared" si="6"/>
        <v>583.60050000000001</v>
      </c>
      <c r="C155" s="35">
        <f>573*(100-C$2)/100</f>
        <v>601.65</v>
      </c>
      <c r="D155" s="35">
        <f t="shared" si="7"/>
        <v>661.81500000000005</v>
      </c>
      <c r="E155" s="35">
        <f t="shared" si="8"/>
        <v>691.89749999999992</v>
      </c>
    </row>
    <row r="156" spans="1:5" ht="15" customHeight="1" outlineLevel="1" x14ac:dyDescent="0.25">
      <c r="A156" s="11" t="s">
        <v>438</v>
      </c>
      <c r="B156" s="35">
        <f t="shared" si="6"/>
        <v>604.98900000000003</v>
      </c>
      <c r="C156" s="35">
        <f>594*(100-C$2)/100</f>
        <v>623.70000000000005</v>
      </c>
      <c r="D156" s="35">
        <f t="shared" si="7"/>
        <v>686.07</v>
      </c>
      <c r="E156" s="35">
        <f t="shared" si="8"/>
        <v>717.255</v>
      </c>
    </row>
    <row r="157" spans="1:5" ht="15" customHeight="1" outlineLevel="1" x14ac:dyDescent="0.25">
      <c r="A157" s="11" t="s">
        <v>439</v>
      </c>
      <c r="B157" s="35">
        <f t="shared" si="6"/>
        <v>666.09900000000005</v>
      </c>
      <c r="C157" s="35">
        <f>654*(100-C$2)/100</f>
        <v>686.7</v>
      </c>
      <c r="D157" s="35">
        <f t="shared" si="7"/>
        <v>755.37000000000012</v>
      </c>
      <c r="E157" s="35">
        <f t="shared" si="8"/>
        <v>789.70500000000004</v>
      </c>
    </row>
    <row r="158" spans="1:5" ht="15" customHeight="1" outlineLevel="1" x14ac:dyDescent="0.25">
      <c r="A158" s="11" t="s">
        <v>440</v>
      </c>
      <c r="B158" s="35">
        <f t="shared" si="6"/>
        <v>745.54200000000003</v>
      </c>
      <c r="C158" s="35">
        <f>732*(100-C$2)/100</f>
        <v>768.6</v>
      </c>
      <c r="D158" s="35">
        <f t="shared" si="7"/>
        <v>845.46000000000015</v>
      </c>
      <c r="E158" s="35">
        <f t="shared" si="8"/>
        <v>883.89</v>
      </c>
    </row>
    <row r="159" spans="1:5" ht="15" customHeight="1" outlineLevel="1" x14ac:dyDescent="0.25">
      <c r="A159" s="11" t="s">
        <v>441</v>
      </c>
      <c r="B159" s="35">
        <f t="shared" si="6"/>
        <v>564.24900000000002</v>
      </c>
      <c r="C159" s="35">
        <f>554*(100-C$2)/100</f>
        <v>581.70000000000005</v>
      </c>
      <c r="D159" s="35">
        <f t="shared" si="7"/>
        <v>639.87000000000012</v>
      </c>
      <c r="E159" s="35">
        <f t="shared" si="8"/>
        <v>668.95500000000004</v>
      </c>
    </row>
    <row r="160" spans="1:5" ht="15" customHeight="1" outlineLevel="1" x14ac:dyDescent="0.25">
      <c r="A160" s="11" t="s">
        <v>872</v>
      </c>
      <c r="B160" s="35">
        <f t="shared" si="6"/>
        <v>575.45249999999999</v>
      </c>
      <c r="C160" s="35">
        <f>565*(100-C$2)/100</f>
        <v>593.25</v>
      </c>
      <c r="D160" s="35">
        <f t="shared" si="7"/>
        <v>652.57500000000005</v>
      </c>
      <c r="E160" s="35">
        <f t="shared" si="8"/>
        <v>682.23749999999995</v>
      </c>
    </row>
    <row r="161" spans="1:5" ht="15" customHeight="1" outlineLevel="1" x14ac:dyDescent="0.25">
      <c r="A161" s="11" t="s">
        <v>873</v>
      </c>
      <c r="B161" s="35">
        <f t="shared" si="6"/>
        <v>578.50799999999992</v>
      </c>
      <c r="C161" s="35">
        <f>568*(100-C$2)/100</f>
        <v>596.4</v>
      </c>
      <c r="D161" s="35">
        <f t="shared" si="7"/>
        <v>656.04000000000008</v>
      </c>
      <c r="E161" s="35">
        <f t="shared" si="8"/>
        <v>685.8599999999999</v>
      </c>
    </row>
    <row r="162" spans="1:5" ht="15" customHeight="1" outlineLevel="1" x14ac:dyDescent="0.25">
      <c r="A162" s="11" t="s">
        <v>442</v>
      </c>
      <c r="B162" s="35">
        <f t="shared" si="6"/>
        <v>601.93349999999998</v>
      </c>
      <c r="C162" s="35">
        <f>591*(100-C$2)/100</f>
        <v>620.54999999999995</v>
      </c>
      <c r="D162" s="35">
        <f t="shared" si="7"/>
        <v>682.60500000000002</v>
      </c>
      <c r="E162" s="35">
        <f t="shared" si="8"/>
        <v>713.63249999999994</v>
      </c>
    </row>
    <row r="163" spans="1:5" ht="15" customHeight="1" outlineLevel="1" x14ac:dyDescent="0.25">
      <c r="A163" s="11" t="s">
        <v>443</v>
      </c>
      <c r="B163" s="35">
        <f t="shared" si="6"/>
        <v>629.43299999999999</v>
      </c>
      <c r="C163" s="35">
        <f>618*(100-C$2)/100</f>
        <v>648.9</v>
      </c>
      <c r="D163" s="35">
        <f t="shared" si="7"/>
        <v>713.79000000000008</v>
      </c>
      <c r="E163" s="35">
        <f t="shared" si="8"/>
        <v>746.2349999999999</v>
      </c>
    </row>
    <row r="164" spans="1:5" ht="15" customHeight="1" outlineLevel="1" x14ac:dyDescent="0.25">
      <c r="A164" s="11" t="s">
        <v>444</v>
      </c>
      <c r="B164" s="35">
        <f t="shared" si="6"/>
        <v>704.80200000000002</v>
      </c>
      <c r="C164" s="35">
        <f>692*(100-C$2)/100</f>
        <v>726.6</v>
      </c>
      <c r="D164" s="35">
        <f t="shared" si="7"/>
        <v>799.2600000000001</v>
      </c>
      <c r="E164" s="35">
        <f t="shared" si="8"/>
        <v>835.58999999999992</v>
      </c>
    </row>
    <row r="165" spans="1:5" ht="15" customHeight="1" outlineLevel="1" x14ac:dyDescent="0.25">
      <c r="A165" s="11" t="s">
        <v>445</v>
      </c>
      <c r="B165" s="35">
        <f t="shared" si="6"/>
        <v>772.02299999999991</v>
      </c>
      <c r="C165" s="35">
        <f>758*(100-C$2)/100</f>
        <v>795.9</v>
      </c>
      <c r="D165" s="35">
        <f t="shared" si="7"/>
        <v>875.49</v>
      </c>
      <c r="E165" s="35">
        <f t="shared" si="8"/>
        <v>915.28499999999985</v>
      </c>
    </row>
    <row r="166" spans="1:5" ht="20.100000000000001" customHeight="1" outlineLevel="1" x14ac:dyDescent="0.25">
      <c r="A166" s="167" t="s">
        <v>949</v>
      </c>
      <c r="B166" s="168"/>
      <c r="C166" s="168"/>
      <c r="D166" s="168"/>
      <c r="E166" s="169"/>
    </row>
    <row r="167" spans="1:5" ht="15" customHeight="1" outlineLevel="1" x14ac:dyDescent="0.25">
      <c r="A167" s="11" t="s">
        <v>999</v>
      </c>
      <c r="B167" s="35">
        <f t="shared" si="6"/>
        <v>83.516999999999996</v>
      </c>
      <c r="C167" s="35">
        <f>82*(100-C$2)/100</f>
        <v>86.1</v>
      </c>
      <c r="D167" s="35">
        <f t="shared" si="7"/>
        <v>94.710000000000008</v>
      </c>
      <c r="E167" s="35">
        <f t="shared" si="8"/>
        <v>99.014999999999986</v>
      </c>
    </row>
    <row r="168" spans="1:5" ht="15" customHeight="1" outlineLevel="1" x14ac:dyDescent="0.25">
      <c r="A168" s="11" t="s">
        <v>1000</v>
      </c>
      <c r="B168" s="35">
        <f t="shared" si="6"/>
        <v>84.535499999999999</v>
      </c>
      <c r="C168" s="35">
        <f>83*(100-C$2)/100</f>
        <v>87.15</v>
      </c>
      <c r="D168" s="35">
        <f t="shared" si="7"/>
        <v>95.865000000000009</v>
      </c>
      <c r="E168" s="35">
        <f t="shared" si="8"/>
        <v>100.2225</v>
      </c>
    </row>
    <row r="169" spans="1:5" ht="15" customHeight="1" outlineLevel="1" x14ac:dyDescent="0.25">
      <c r="A169" s="11" t="s">
        <v>1001</v>
      </c>
      <c r="B169" s="35">
        <f t="shared" si="6"/>
        <v>87.590999999999994</v>
      </c>
      <c r="C169" s="35">
        <f>86*(100-C$2)/100</f>
        <v>90.3</v>
      </c>
      <c r="D169" s="35">
        <f t="shared" si="7"/>
        <v>99.33</v>
      </c>
      <c r="E169" s="35">
        <f t="shared" si="8"/>
        <v>103.84499999999998</v>
      </c>
    </row>
    <row r="170" spans="1:5" ht="15" customHeight="1" outlineLevel="1" x14ac:dyDescent="0.25">
      <c r="A170" s="11" t="s">
        <v>1002</v>
      </c>
      <c r="B170" s="35">
        <f t="shared" si="6"/>
        <v>96.757499999999993</v>
      </c>
      <c r="C170" s="35">
        <f>95*(100-C$2)/100</f>
        <v>99.75</v>
      </c>
      <c r="D170" s="35">
        <f t="shared" si="7"/>
        <v>109.72500000000001</v>
      </c>
      <c r="E170" s="35">
        <f t="shared" si="8"/>
        <v>114.71249999999999</v>
      </c>
    </row>
    <row r="171" spans="1:5" ht="15" customHeight="1" outlineLevel="1" x14ac:dyDescent="0.25">
      <c r="A171" s="11" t="s">
        <v>1003</v>
      </c>
      <c r="B171" s="35">
        <f t="shared" si="6"/>
        <v>100.83150000000001</v>
      </c>
      <c r="C171" s="35">
        <f>99*(100-C$2)/100</f>
        <v>103.95</v>
      </c>
      <c r="D171" s="35">
        <f t="shared" si="7"/>
        <v>114.34500000000001</v>
      </c>
      <c r="E171" s="35">
        <f t="shared" si="8"/>
        <v>119.54249999999999</v>
      </c>
    </row>
    <row r="172" spans="1:5" ht="15" customHeight="1" outlineLevel="1" x14ac:dyDescent="0.25">
      <c r="A172" s="11" t="s">
        <v>1004</v>
      </c>
      <c r="B172" s="35">
        <f t="shared" si="6"/>
        <v>117.1275</v>
      </c>
      <c r="C172" s="35">
        <f>115*(100-C$2)/100</f>
        <v>120.75</v>
      </c>
      <c r="D172" s="35">
        <f t="shared" si="7"/>
        <v>132.82500000000002</v>
      </c>
      <c r="E172" s="35">
        <f t="shared" si="8"/>
        <v>138.86249999999998</v>
      </c>
    </row>
    <row r="173" spans="1:5" ht="15" customHeight="1" outlineLevel="1" x14ac:dyDescent="0.25">
      <c r="A173" s="11" t="s">
        <v>1005</v>
      </c>
      <c r="B173" s="35">
        <f t="shared" si="6"/>
        <v>122.22</v>
      </c>
      <c r="C173" s="35">
        <f>120*(100-C$2)/100</f>
        <v>126</v>
      </c>
      <c r="D173" s="35">
        <f t="shared" si="7"/>
        <v>138.60000000000002</v>
      </c>
      <c r="E173" s="35">
        <f t="shared" si="8"/>
        <v>144.89999999999998</v>
      </c>
    </row>
    <row r="174" spans="1:5" ht="15" customHeight="1" outlineLevel="1" x14ac:dyDescent="0.25">
      <c r="A174" s="11" t="s">
        <v>1006</v>
      </c>
      <c r="B174" s="35">
        <f t="shared" si="6"/>
        <v>132.405</v>
      </c>
      <c r="C174" s="35">
        <f>130*(100-C$2)/100</f>
        <v>136.5</v>
      </c>
      <c r="D174" s="35">
        <f t="shared" si="7"/>
        <v>150.15</v>
      </c>
      <c r="E174" s="35">
        <f t="shared" si="8"/>
        <v>156.97499999999999</v>
      </c>
    </row>
    <row r="175" spans="1:5" ht="15" customHeight="1" outlineLevel="1" x14ac:dyDescent="0.25">
      <c r="A175" s="11" t="s">
        <v>1007</v>
      </c>
      <c r="B175" s="35">
        <f t="shared" si="6"/>
        <v>147.6825</v>
      </c>
      <c r="C175" s="35">
        <f>145*(100-C$2)/100</f>
        <v>152.25</v>
      </c>
      <c r="D175" s="35">
        <f t="shared" si="7"/>
        <v>167.47500000000002</v>
      </c>
      <c r="E175" s="35">
        <f t="shared" si="8"/>
        <v>175.08749999999998</v>
      </c>
    </row>
    <row r="176" spans="1:5" ht="20.100000000000001" customHeight="1" outlineLevel="1" x14ac:dyDescent="0.25">
      <c r="A176" s="167" t="s">
        <v>950</v>
      </c>
      <c r="B176" s="168"/>
      <c r="C176" s="168"/>
      <c r="D176" s="168"/>
      <c r="E176" s="169"/>
    </row>
    <row r="177" spans="1:5" ht="15" customHeight="1" outlineLevel="1" x14ac:dyDescent="0.25">
      <c r="A177" s="11" t="s">
        <v>874</v>
      </c>
      <c r="B177" s="35">
        <f t="shared" si="6"/>
        <v>285.18</v>
      </c>
      <c r="C177" s="35">
        <f>280*(100-C$2)/100</f>
        <v>294</v>
      </c>
      <c r="D177" s="35">
        <f t="shared" si="7"/>
        <v>323.40000000000003</v>
      </c>
      <c r="E177" s="35">
        <f t="shared" si="8"/>
        <v>338.09999999999997</v>
      </c>
    </row>
    <row r="178" spans="1:5" ht="15" customHeight="1" outlineLevel="1" x14ac:dyDescent="0.25">
      <c r="A178" s="11" t="s">
        <v>446</v>
      </c>
      <c r="B178" s="35">
        <f t="shared" si="6"/>
        <v>290.27249999999998</v>
      </c>
      <c r="C178" s="35">
        <f>285*(100-C$2)/100</f>
        <v>299.25</v>
      </c>
      <c r="D178" s="35">
        <f t="shared" si="7"/>
        <v>329.17500000000001</v>
      </c>
      <c r="E178" s="35">
        <f t="shared" si="8"/>
        <v>344.13749999999999</v>
      </c>
    </row>
    <row r="179" spans="1:5" ht="15" customHeight="1" outlineLevel="1" x14ac:dyDescent="0.25">
      <c r="A179" s="11" t="s">
        <v>977</v>
      </c>
      <c r="B179" s="35">
        <f t="shared" si="6"/>
        <v>300.45749999999998</v>
      </c>
      <c r="C179" s="35">
        <f>295*(100-C$2)/100</f>
        <v>309.75</v>
      </c>
      <c r="D179" s="35">
        <f t="shared" si="7"/>
        <v>340.72500000000002</v>
      </c>
      <c r="E179" s="35">
        <f t="shared" si="8"/>
        <v>356.21249999999998</v>
      </c>
    </row>
    <row r="180" spans="1:5" ht="15" customHeight="1" outlineLevel="1" x14ac:dyDescent="0.25">
      <c r="A180" s="11" t="s">
        <v>978</v>
      </c>
      <c r="B180" s="35">
        <f t="shared" si="6"/>
        <v>287.21700000000004</v>
      </c>
      <c r="C180" s="35">
        <f>282*(100-C$2)/100</f>
        <v>296.10000000000002</v>
      </c>
      <c r="D180" s="35">
        <f t="shared" si="7"/>
        <v>325.71000000000004</v>
      </c>
      <c r="E180" s="35">
        <f t="shared" si="8"/>
        <v>340.51499999999999</v>
      </c>
    </row>
    <row r="181" spans="1:5" ht="15" customHeight="1" outlineLevel="1" x14ac:dyDescent="0.25">
      <c r="A181" s="11" t="s">
        <v>447</v>
      </c>
      <c r="B181" s="35">
        <f t="shared" si="6"/>
        <v>295.36500000000001</v>
      </c>
      <c r="C181" s="35">
        <f>290*(100-C$2)/100</f>
        <v>304.5</v>
      </c>
      <c r="D181" s="35">
        <f t="shared" si="7"/>
        <v>334.95000000000005</v>
      </c>
      <c r="E181" s="35">
        <f t="shared" si="8"/>
        <v>350.17499999999995</v>
      </c>
    </row>
    <row r="182" spans="1:5" ht="15" customHeight="1" outlineLevel="1" x14ac:dyDescent="0.25">
      <c r="A182" s="11" t="s">
        <v>875</v>
      </c>
      <c r="B182" s="35">
        <f t="shared" si="6"/>
        <v>298.42049999999995</v>
      </c>
      <c r="C182" s="35">
        <f>293*(100-C$2)/100</f>
        <v>307.64999999999998</v>
      </c>
      <c r="D182" s="35">
        <f t="shared" si="7"/>
        <v>338.41500000000002</v>
      </c>
      <c r="E182" s="35">
        <f t="shared" si="8"/>
        <v>353.79749999999996</v>
      </c>
    </row>
    <row r="183" spans="1:5" ht="15" customHeight="1" outlineLevel="1" x14ac:dyDescent="0.25">
      <c r="A183" s="11" t="s">
        <v>876</v>
      </c>
      <c r="B183" s="35">
        <f t="shared" si="6"/>
        <v>299.43899999999996</v>
      </c>
      <c r="C183" s="35">
        <f>294*(100-C$2)/100</f>
        <v>308.7</v>
      </c>
      <c r="D183" s="35">
        <f t="shared" si="7"/>
        <v>339.57</v>
      </c>
      <c r="E183" s="35">
        <f t="shared" si="8"/>
        <v>355.00499999999994</v>
      </c>
    </row>
    <row r="184" spans="1:5" ht="15" customHeight="1" outlineLevel="1" x14ac:dyDescent="0.25">
      <c r="A184" s="11" t="s">
        <v>448</v>
      </c>
      <c r="B184" s="35">
        <f t="shared" si="6"/>
        <v>315.73500000000001</v>
      </c>
      <c r="C184" s="35">
        <f>310*(100-C$2)/100</f>
        <v>325.5</v>
      </c>
      <c r="D184" s="35">
        <f t="shared" si="7"/>
        <v>358.05</v>
      </c>
      <c r="E184" s="35">
        <f t="shared" si="8"/>
        <v>374.32499999999999</v>
      </c>
    </row>
    <row r="185" spans="1:5" ht="15" customHeight="1" outlineLevel="1" x14ac:dyDescent="0.25">
      <c r="A185" s="11" t="s">
        <v>449</v>
      </c>
      <c r="B185" s="35">
        <f t="shared" si="6"/>
        <v>331.01249999999999</v>
      </c>
      <c r="C185" s="35">
        <f>325*(100-C$2)/100</f>
        <v>341.25</v>
      </c>
      <c r="D185" s="35">
        <f t="shared" si="7"/>
        <v>375.37500000000006</v>
      </c>
      <c r="E185" s="35">
        <f t="shared" si="8"/>
        <v>392.43749999999994</v>
      </c>
    </row>
    <row r="186" spans="1:5" ht="15" customHeight="1" outlineLevel="1" x14ac:dyDescent="0.25">
      <c r="A186" s="11" t="s">
        <v>450</v>
      </c>
      <c r="B186" s="35">
        <f t="shared" si="6"/>
        <v>302.49450000000002</v>
      </c>
      <c r="C186" s="35">
        <f>297*(100-C$2)/100</f>
        <v>311.85000000000002</v>
      </c>
      <c r="D186" s="35">
        <f t="shared" si="7"/>
        <v>343.03500000000003</v>
      </c>
      <c r="E186" s="35">
        <f t="shared" si="8"/>
        <v>358.6275</v>
      </c>
    </row>
    <row r="187" spans="1:5" ht="15" customHeight="1" outlineLevel="1" x14ac:dyDescent="0.25">
      <c r="A187" s="11" t="s">
        <v>451</v>
      </c>
      <c r="B187" s="35">
        <f t="shared" si="6"/>
        <v>322.86450000000002</v>
      </c>
      <c r="C187" s="35">
        <f>317*(100-C$2)/100</f>
        <v>332.85</v>
      </c>
      <c r="D187" s="35">
        <f t="shared" si="7"/>
        <v>366.13500000000005</v>
      </c>
      <c r="E187" s="35">
        <f t="shared" si="8"/>
        <v>382.77749999999997</v>
      </c>
    </row>
    <row r="188" spans="1:5" ht="15" customHeight="1" outlineLevel="1" x14ac:dyDescent="0.25">
      <c r="A188" s="11" t="s">
        <v>452</v>
      </c>
      <c r="B188" s="35">
        <f t="shared" si="6"/>
        <v>340.17899999999997</v>
      </c>
      <c r="C188" s="35">
        <f>334*(100-C$2)/100</f>
        <v>350.7</v>
      </c>
      <c r="D188" s="35">
        <f t="shared" si="7"/>
        <v>385.77000000000004</v>
      </c>
      <c r="E188" s="35">
        <f t="shared" si="8"/>
        <v>403.30499999999995</v>
      </c>
    </row>
    <row r="189" spans="1:5" ht="15" customHeight="1" outlineLevel="1" x14ac:dyDescent="0.25">
      <c r="A189" s="11" t="s">
        <v>453</v>
      </c>
      <c r="B189" s="35">
        <f t="shared" si="6"/>
        <v>386.01149999999996</v>
      </c>
      <c r="C189" s="35">
        <f>379*(100-C$2)/100</f>
        <v>397.95</v>
      </c>
      <c r="D189" s="35">
        <f t="shared" si="7"/>
        <v>437.745</v>
      </c>
      <c r="E189" s="35">
        <f t="shared" si="8"/>
        <v>457.64249999999993</v>
      </c>
    </row>
    <row r="190" spans="1:5" ht="15" customHeight="1" outlineLevel="1" x14ac:dyDescent="0.25">
      <c r="A190" s="11" t="s">
        <v>454</v>
      </c>
      <c r="B190" s="35">
        <f t="shared" si="6"/>
        <v>307.58699999999999</v>
      </c>
      <c r="C190" s="35">
        <f>302*(100-C$2)/100</f>
        <v>317.10000000000002</v>
      </c>
      <c r="D190" s="35">
        <f t="shared" si="7"/>
        <v>348.81000000000006</v>
      </c>
      <c r="E190" s="35">
        <f t="shared" si="8"/>
        <v>364.66500000000002</v>
      </c>
    </row>
    <row r="191" spans="1:5" ht="15" customHeight="1" outlineLevel="1" x14ac:dyDescent="0.25">
      <c r="A191" s="11" t="s">
        <v>877</v>
      </c>
      <c r="B191" s="35">
        <f t="shared" si="6"/>
        <v>315.73500000000001</v>
      </c>
      <c r="C191" s="35">
        <f>310*(100-C$2)/100</f>
        <v>325.5</v>
      </c>
      <c r="D191" s="35">
        <f t="shared" si="7"/>
        <v>358.05</v>
      </c>
      <c r="E191" s="35">
        <f t="shared" si="8"/>
        <v>374.32499999999999</v>
      </c>
    </row>
    <row r="192" spans="1:5" ht="15" customHeight="1" outlineLevel="1" x14ac:dyDescent="0.25">
      <c r="A192" s="11" t="s">
        <v>878</v>
      </c>
      <c r="B192" s="35">
        <f t="shared" si="6"/>
        <v>316.75349999999997</v>
      </c>
      <c r="C192" s="35">
        <f>311*(100-C$2)/100</f>
        <v>326.55</v>
      </c>
      <c r="D192" s="35">
        <f t="shared" si="7"/>
        <v>359.20500000000004</v>
      </c>
      <c r="E192" s="35">
        <f t="shared" si="8"/>
        <v>375.53249999999997</v>
      </c>
    </row>
    <row r="193" spans="1:5" ht="15" customHeight="1" outlineLevel="1" x14ac:dyDescent="0.25">
      <c r="A193" s="11" t="s">
        <v>455</v>
      </c>
      <c r="B193" s="35">
        <f t="shared" si="6"/>
        <v>328.97549999999995</v>
      </c>
      <c r="C193" s="35">
        <f>323*(100-C$2)/100</f>
        <v>339.15</v>
      </c>
      <c r="D193" s="35">
        <f t="shared" si="7"/>
        <v>373.065</v>
      </c>
      <c r="E193" s="35">
        <f t="shared" si="8"/>
        <v>390.02249999999992</v>
      </c>
    </row>
    <row r="194" spans="1:5" ht="15" customHeight="1" outlineLevel="1" x14ac:dyDescent="0.25">
      <c r="A194" s="11" t="s">
        <v>456</v>
      </c>
      <c r="B194" s="35">
        <f t="shared" si="6"/>
        <v>348.327</v>
      </c>
      <c r="C194" s="35">
        <f>342*(100-C$2)/100</f>
        <v>359.1</v>
      </c>
      <c r="D194" s="35">
        <f t="shared" si="7"/>
        <v>395.01000000000005</v>
      </c>
      <c r="E194" s="35">
        <f t="shared" si="8"/>
        <v>412.96499999999997</v>
      </c>
    </row>
    <row r="195" spans="1:5" ht="15" customHeight="1" outlineLevel="1" x14ac:dyDescent="0.25">
      <c r="A195" s="11" t="s">
        <v>457</v>
      </c>
      <c r="B195" s="35">
        <f t="shared" si="6"/>
        <v>405.36299999999994</v>
      </c>
      <c r="C195" s="35">
        <f>398*(100-C$2)/100</f>
        <v>417.9</v>
      </c>
      <c r="D195" s="35">
        <f t="shared" si="7"/>
        <v>459.69</v>
      </c>
      <c r="E195" s="35">
        <f t="shared" si="8"/>
        <v>480.58499999999992</v>
      </c>
    </row>
    <row r="196" spans="1:5" ht="15" customHeight="1" outlineLevel="1" x14ac:dyDescent="0.25">
      <c r="A196" s="11" t="s">
        <v>458</v>
      </c>
      <c r="B196" s="35">
        <f t="shared" ref="B196:B258" si="9">C196*0.97</f>
        <v>454.25099999999998</v>
      </c>
      <c r="C196" s="35">
        <f>446*(100-C$2)/100</f>
        <v>468.3</v>
      </c>
      <c r="D196" s="35">
        <f t="shared" ref="D196:D258" si="10">C196*1.1</f>
        <v>515.13000000000011</v>
      </c>
      <c r="E196" s="35">
        <f t="shared" ref="E196:E258" si="11">C196*1.15</f>
        <v>538.54499999999996</v>
      </c>
    </row>
    <row r="197" spans="1:5" ht="15" customHeight="1" outlineLevel="1" x14ac:dyDescent="0.25">
      <c r="A197" s="11" t="s">
        <v>459</v>
      </c>
      <c r="B197" s="35">
        <f t="shared" si="9"/>
        <v>423.69600000000003</v>
      </c>
      <c r="C197" s="35">
        <f>416*(100-C$2)/100</f>
        <v>436.8</v>
      </c>
      <c r="D197" s="35">
        <f t="shared" si="10"/>
        <v>480.48000000000008</v>
      </c>
      <c r="E197" s="35">
        <f t="shared" si="11"/>
        <v>502.32</v>
      </c>
    </row>
    <row r="198" spans="1:5" ht="15" customHeight="1" outlineLevel="1" x14ac:dyDescent="0.25">
      <c r="A198" s="11" t="s">
        <v>460</v>
      </c>
      <c r="B198" s="35">
        <f t="shared" si="9"/>
        <v>439.99200000000002</v>
      </c>
      <c r="C198" s="35">
        <f>432*(100-C$2)/100</f>
        <v>453.6</v>
      </c>
      <c r="D198" s="35">
        <f t="shared" si="10"/>
        <v>498.96000000000009</v>
      </c>
      <c r="E198" s="35">
        <f t="shared" si="11"/>
        <v>521.64</v>
      </c>
    </row>
    <row r="199" spans="1:5" ht="15" customHeight="1" outlineLevel="1" x14ac:dyDescent="0.25">
      <c r="A199" s="11" t="s">
        <v>461</v>
      </c>
      <c r="B199" s="35">
        <f t="shared" si="9"/>
        <v>468.51</v>
      </c>
      <c r="C199" s="35">
        <f>460*(100-C$2)/100</f>
        <v>483</v>
      </c>
      <c r="D199" s="35">
        <f t="shared" si="10"/>
        <v>531.30000000000007</v>
      </c>
      <c r="E199" s="35">
        <f t="shared" si="11"/>
        <v>555.44999999999993</v>
      </c>
    </row>
    <row r="200" spans="1:5" ht="15" customHeight="1" outlineLevel="1" x14ac:dyDescent="0.25">
      <c r="A200" s="11" t="s">
        <v>462</v>
      </c>
      <c r="B200" s="35">
        <f t="shared" si="9"/>
        <v>514.34249999999997</v>
      </c>
      <c r="C200" s="35">
        <f>505*(100-C$2)/100</f>
        <v>530.25</v>
      </c>
      <c r="D200" s="35">
        <f t="shared" si="10"/>
        <v>583.27500000000009</v>
      </c>
      <c r="E200" s="35">
        <f t="shared" si="11"/>
        <v>609.78749999999991</v>
      </c>
    </row>
    <row r="201" spans="1:5" ht="15" customHeight="1" outlineLevel="1" x14ac:dyDescent="0.25">
      <c r="A201" s="11" t="s">
        <v>463</v>
      </c>
      <c r="B201" s="35">
        <f t="shared" si="9"/>
        <v>564.24900000000002</v>
      </c>
      <c r="C201" s="35">
        <f>554*(100-C$2)/100</f>
        <v>581.70000000000005</v>
      </c>
      <c r="D201" s="35">
        <f t="shared" si="10"/>
        <v>639.87000000000012</v>
      </c>
      <c r="E201" s="35">
        <f t="shared" si="11"/>
        <v>668.95500000000004</v>
      </c>
    </row>
    <row r="202" spans="1:5" ht="15" customHeight="1" outlineLevel="1" x14ac:dyDescent="0.25">
      <c r="A202" s="11" t="s">
        <v>464</v>
      </c>
      <c r="B202" s="35">
        <f t="shared" si="9"/>
        <v>429.80700000000002</v>
      </c>
      <c r="C202" s="35">
        <f>422*(100-C$2)/100</f>
        <v>443.1</v>
      </c>
      <c r="D202" s="35">
        <f t="shared" si="10"/>
        <v>487.41000000000008</v>
      </c>
      <c r="E202" s="35">
        <f t="shared" si="11"/>
        <v>509.565</v>
      </c>
    </row>
    <row r="203" spans="1:5" ht="15" customHeight="1" outlineLevel="1" x14ac:dyDescent="0.25">
      <c r="A203" s="11" t="s">
        <v>879</v>
      </c>
      <c r="B203" s="35">
        <f t="shared" si="9"/>
        <v>432.86250000000001</v>
      </c>
      <c r="C203" s="35">
        <f>425*(100-C$2)/100</f>
        <v>446.25</v>
      </c>
      <c r="D203" s="35">
        <f t="shared" si="10"/>
        <v>490.87500000000006</v>
      </c>
      <c r="E203" s="35">
        <f t="shared" si="11"/>
        <v>513.1875</v>
      </c>
    </row>
    <row r="204" spans="1:5" ht="15" customHeight="1" outlineLevel="1" x14ac:dyDescent="0.25">
      <c r="A204" s="11" t="s">
        <v>880</v>
      </c>
      <c r="B204" s="35">
        <f t="shared" si="9"/>
        <v>435.91799999999995</v>
      </c>
      <c r="C204" s="35">
        <f>428*(100-C$2)/100</f>
        <v>449.4</v>
      </c>
      <c r="D204" s="35">
        <f t="shared" si="10"/>
        <v>494.34000000000003</v>
      </c>
      <c r="E204" s="35">
        <f t="shared" si="11"/>
        <v>516.80999999999995</v>
      </c>
    </row>
    <row r="205" spans="1:5" ht="15" customHeight="1" outlineLevel="1" x14ac:dyDescent="0.25">
      <c r="A205" s="11" t="s">
        <v>465</v>
      </c>
      <c r="B205" s="35">
        <f t="shared" si="9"/>
        <v>454.25099999999998</v>
      </c>
      <c r="C205" s="35">
        <f>446*(100-C$2)/100</f>
        <v>468.3</v>
      </c>
      <c r="D205" s="35">
        <f t="shared" si="10"/>
        <v>515.13000000000011</v>
      </c>
      <c r="E205" s="35">
        <f t="shared" si="11"/>
        <v>538.54499999999996</v>
      </c>
    </row>
    <row r="206" spans="1:5" ht="15" customHeight="1" outlineLevel="1" x14ac:dyDescent="0.25">
      <c r="A206" s="11" t="s">
        <v>466</v>
      </c>
      <c r="B206" s="35">
        <f t="shared" si="9"/>
        <v>478.69499999999999</v>
      </c>
      <c r="C206" s="35">
        <f>470*(100-C$2)/100</f>
        <v>493.5</v>
      </c>
      <c r="D206" s="35">
        <f t="shared" si="10"/>
        <v>542.85</v>
      </c>
      <c r="E206" s="35">
        <f t="shared" si="11"/>
        <v>567.52499999999998</v>
      </c>
    </row>
    <row r="207" spans="1:5" ht="15" customHeight="1" outlineLevel="1" x14ac:dyDescent="0.25">
      <c r="A207" s="11" t="s">
        <v>467</v>
      </c>
      <c r="B207" s="35">
        <f t="shared" si="9"/>
        <v>526.56449999999995</v>
      </c>
      <c r="C207" s="35">
        <f>517*(100-C$2)/100</f>
        <v>542.85</v>
      </c>
      <c r="D207" s="35">
        <f t="shared" si="10"/>
        <v>597.1350000000001</v>
      </c>
      <c r="E207" s="35">
        <f t="shared" si="11"/>
        <v>624.27750000000003</v>
      </c>
    </row>
    <row r="208" spans="1:5" ht="15" customHeight="1" outlineLevel="1" x14ac:dyDescent="0.25">
      <c r="A208" s="11" t="s">
        <v>468</v>
      </c>
      <c r="B208" s="35">
        <f t="shared" si="9"/>
        <v>590.73</v>
      </c>
      <c r="C208" s="35">
        <f>580*(100-C$2)/100</f>
        <v>609</v>
      </c>
      <c r="D208" s="35">
        <f t="shared" si="10"/>
        <v>669.90000000000009</v>
      </c>
      <c r="E208" s="35">
        <f t="shared" si="11"/>
        <v>700.34999999999991</v>
      </c>
    </row>
    <row r="209" spans="1:5" ht="15" customHeight="1" outlineLevel="1" x14ac:dyDescent="0.25">
      <c r="A209" s="11" t="s">
        <v>469</v>
      </c>
      <c r="B209" s="35">
        <f t="shared" si="9"/>
        <v>538.78650000000005</v>
      </c>
      <c r="C209" s="35">
        <f>529*(100-C$2)/100</f>
        <v>555.45000000000005</v>
      </c>
      <c r="D209" s="35">
        <f t="shared" si="10"/>
        <v>610.99500000000012</v>
      </c>
      <c r="E209" s="35">
        <f t="shared" si="11"/>
        <v>638.76750000000004</v>
      </c>
    </row>
    <row r="210" spans="1:5" ht="15" customHeight="1" outlineLevel="1" x14ac:dyDescent="0.25">
      <c r="A210" s="11" t="s">
        <v>881</v>
      </c>
      <c r="B210" s="35">
        <f t="shared" si="9"/>
        <v>556.10099999999989</v>
      </c>
      <c r="C210" s="35">
        <f>546*(100-C$2)/100</f>
        <v>573.29999999999995</v>
      </c>
      <c r="D210" s="35">
        <f t="shared" si="10"/>
        <v>630.63</v>
      </c>
      <c r="E210" s="35">
        <f t="shared" si="11"/>
        <v>659.29499999999985</v>
      </c>
    </row>
    <row r="211" spans="1:5" ht="15" customHeight="1" outlineLevel="1" x14ac:dyDescent="0.25">
      <c r="A211" s="11" t="s">
        <v>882</v>
      </c>
      <c r="B211" s="35">
        <f t="shared" si="9"/>
        <v>557.11950000000002</v>
      </c>
      <c r="C211" s="35">
        <f>547*(100-C$2)/100</f>
        <v>574.35</v>
      </c>
      <c r="D211" s="35">
        <f t="shared" si="10"/>
        <v>631.78500000000008</v>
      </c>
      <c r="E211" s="35">
        <f t="shared" si="11"/>
        <v>660.50249999999994</v>
      </c>
    </row>
    <row r="212" spans="1:5" ht="15" customHeight="1" outlineLevel="1" x14ac:dyDescent="0.25">
      <c r="A212" s="11" t="s">
        <v>470</v>
      </c>
      <c r="B212" s="35">
        <f t="shared" si="9"/>
        <v>583.60050000000001</v>
      </c>
      <c r="C212" s="35">
        <f>573*(100-C$2)/100</f>
        <v>601.65</v>
      </c>
      <c r="D212" s="35">
        <f t="shared" si="10"/>
        <v>661.81500000000005</v>
      </c>
      <c r="E212" s="35">
        <f t="shared" si="11"/>
        <v>691.89749999999992</v>
      </c>
    </row>
    <row r="213" spans="1:5" ht="15" customHeight="1" outlineLevel="1" x14ac:dyDescent="0.25">
      <c r="A213" s="11" t="s">
        <v>471</v>
      </c>
      <c r="B213" s="35">
        <f t="shared" si="9"/>
        <v>604.98900000000003</v>
      </c>
      <c r="C213" s="35">
        <f>594*(100-C$2)/100</f>
        <v>623.70000000000005</v>
      </c>
      <c r="D213" s="35">
        <f t="shared" si="10"/>
        <v>686.07</v>
      </c>
      <c r="E213" s="35">
        <f t="shared" si="11"/>
        <v>717.255</v>
      </c>
    </row>
    <row r="214" spans="1:5" ht="15" customHeight="1" outlineLevel="1" x14ac:dyDescent="0.25">
      <c r="A214" s="11" t="s">
        <v>472</v>
      </c>
      <c r="B214" s="35">
        <f t="shared" si="9"/>
        <v>666.09900000000005</v>
      </c>
      <c r="C214" s="35">
        <f>654*(100-C$2)/100</f>
        <v>686.7</v>
      </c>
      <c r="D214" s="35">
        <f t="shared" si="10"/>
        <v>755.37000000000012</v>
      </c>
      <c r="E214" s="35">
        <f t="shared" si="11"/>
        <v>789.70500000000004</v>
      </c>
    </row>
    <row r="215" spans="1:5" ht="15" customHeight="1" outlineLevel="1" x14ac:dyDescent="0.25">
      <c r="A215" s="11" t="s">
        <v>473</v>
      </c>
      <c r="B215" s="35">
        <f t="shared" si="9"/>
        <v>745.54200000000003</v>
      </c>
      <c r="C215" s="35">
        <f>732*(100-C$2)/100</f>
        <v>768.6</v>
      </c>
      <c r="D215" s="35">
        <f t="shared" si="10"/>
        <v>845.46000000000015</v>
      </c>
      <c r="E215" s="35">
        <f t="shared" si="11"/>
        <v>883.89</v>
      </c>
    </row>
    <row r="216" spans="1:5" ht="15" customHeight="1" outlineLevel="1" x14ac:dyDescent="0.25">
      <c r="A216" s="11" t="s">
        <v>474</v>
      </c>
      <c r="B216" s="35">
        <f t="shared" si="9"/>
        <v>564.24900000000002</v>
      </c>
      <c r="C216" s="35">
        <f>554*(100-C$2)/100</f>
        <v>581.70000000000005</v>
      </c>
      <c r="D216" s="35">
        <f t="shared" si="10"/>
        <v>639.87000000000012</v>
      </c>
      <c r="E216" s="35">
        <f t="shared" si="11"/>
        <v>668.95500000000004</v>
      </c>
    </row>
    <row r="217" spans="1:5" ht="15" customHeight="1" outlineLevel="1" x14ac:dyDescent="0.25">
      <c r="A217" s="11" t="s">
        <v>883</v>
      </c>
      <c r="B217" s="35">
        <f t="shared" si="9"/>
        <v>575.45249999999999</v>
      </c>
      <c r="C217" s="35">
        <f>565*(100-C$2)/100</f>
        <v>593.25</v>
      </c>
      <c r="D217" s="35">
        <f t="shared" si="10"/>
        <v>652.57500000000005</v>
      </c>
      <c r="E217" s="35">
        <f t="shared" si="11"/>
        <v>682.23749999999995</v>
      </c>
    </row>
    <row r="218" spans="1:5" ht="15" customHeight="1" outlineLevel="1" x14ac:dyDescent="0.25">
      <c r="A218" s="11" t="s">
        <v>884</v>
      </c>
      <c r="B218" s="35">
        <f t="shared" si="9"/>
        <v>578.50799999999992</v>
      </c>
      <c r="C218" s="35">
        <f>568*(100-C$2)/100</f>
        <v>596.4</v>
      </c>
      <c r="D218" s="35">
        <f t="shared" si="10"/>
        <v>656.04000000000008</v>
      </c>
      <c r="E218" s="35">
        <f t="shared" si="11"/>
        <v>685.8599999999999</v>
      </c>
    </row>
    <row r="219" spans="1:5" ht="15" customHeight="1" outlineLevel="1" x14ac:dyDescent="0.25">
      <c r="A219" s="11" t="s">
        <v>475</v>
      </c>
      <c r="B219" s="35">
        <f t="shared" si="9"/>
        <v>601.93349999999998</v>
      </c>
      <c r="C219" s="35">
        <f>591*(100-C$2)/100</f>
        <v>620.54999999999995</v>
      </c>
      <c r="D219" s="35">
        <f t="shared" si="10"/>
        <v>682.60500000000002</v>
      </c>
      <c r="E219" s="35">
        <f t="shared" si="11"/>
        <v>713.63249999999994</v>
      </c>
    </row>
    <row r="220" spans="1:5" ht="15" customHeight="1" outlineLevel="1" x14ac:dyDescent="0.25">
      <c r="A220" s="11" t="s">
        <v>476</v>
      </c>
      <c r="B220" s="35">
        <f t="shared" si="9"/>
        <v>629.43299999999999</v>
      </c>
      <c r="C220" s="35">
        <f>618*(100-C$2)/100</f>
        <v>648.9</v>
      </c>
      <c r="D220" s="35">
        <f t="shared" si="10"/>
        <v>713.79000000000008</v>
      </c>
      <c r="E220" s="35">
        <f t="shared" si="11"/>
        <v>746.2349999999999</v>
      </c>
    </row>
    <row r="221" spans="1:5" ht="15" customHeight="1" outlineLevel="1" x14ac:dyDescent="0.25">
      <c r="A221" s="11" t="s">
        <v>477</v>
      </c>
      <c r="B221" s="35">
        <f t="shared" si="9"/>
        <v>704.80200000000002</v>
      </c>
      <c r="C221" s="35">
        <f>692*(100-C$2)/100</f>
        <v>726.6</v>
      </c>
      <c r="D221" s="35">
        <f t="shared" si="10"/>
        <v>799.2600000000001</v>
      </c>
      <c r="E221" s="35">
        <f t="shared" si="11"/>
        <v>835.58999999999992</v>
      </c>
    </row>
    <row r="222" spans="1:5" ht="15" customHeight="1" outlineLevel="1" x14ac:dyDescent="0.25">
      <c r="A222" s="11" t="s">
        <v>478</v>
      </c>
      <c r="B222" s="35">
        <f t="shared" si="9"/>
        <v>772.02299999999991</v>
      </c>
      <c r="C222" s="35">
        <f>758*(100-C$2)/100</f>
        <v>795.9</v>
      </c>
      <c r="D222" s="35">
        <f t="shared" si="10"/>
        <v>875.49</v>
      </c>
      <c r="E222" s="35">
        <f t="shared" si="11"/>
        <v>915.28499999999985</v>
      </c>
    </row>
    <row r="223" spans="1:5" ht="20.100000000000001" customHeight="1" outlineLevel="1" x14ac:dyDescent="0.25">
      <c r="A223" s="167" t="s">
        <v>951</v>
      </c>
      <c r="B223" s="168"/>
      <c r="C223" s="168"/>
      <c r="D223" s="168"/>
      <c r="E223" s="169"/>
    </row>
    <row r="224" spans="1:5" ht="15" customHeight="1" outlineLevel="1" x14ac:dyDescent="0.25">
      <c r="A224" s="11" t="s">
        <v>990</v>
      </c>
      <c r="B224" s="35">
        <f t="shared" si="9"/>
        <v>83.516999999999996</v>
      </c>
      <c r="C224" s="35">
        <f>82*(100-C$2)/100</f>
        <v>86.1</v>
      </c>
      <c r="D224" s="35">
        <f t="shared" si="10"/>
        <v>94.710000000000008</v>
      </c>
      <c r="E224" s="35">
        <f t="shared" si="11"/>
        <v>99.014999999999986</v>
      </c>
    </row>
    <row r="225" spans="1:5" ht="15" customHeight="1" outlineLevel="1" x14ac:dyDescent="0.25">
      <c r="A225" s="11" t="s">
        <v>991</v>
      </c>
      <c r="B225" s="35">
        <f t="shared" si="9"/>
        <v>84.535499999999999</v>
      </c>
      <c r="C225" s="35">
        <f>83*(100-C$2)/100</f>
        <v>87.15</v>
      </c>
      <c r="D225" s="35">
        <f t="shared" si="10"/>
        <v>95.865000000000009</v>
      </c>
      <c r="E225" s="35">
        <f t="shared" si="11"/>
        <v>100.2225</v>
      </c>
    </row>
    <row r="226" spans="1:5" ht="15" customHeight="1" outlineLevel="1" x14ac:dyDescent="0.25">
      <c r="A226" s="11" t="s">
        <v>992</v>
      </c>
      <c r="B226" s="35">
        <f t="shared" si="9"/>
        <v>87.590999999999994</v>
      </c>
      <c r="C226" s="35">
        <f>86*(100-C$2)/100</f>
        <v>90.3</v>
      </c>
      <c r="D226" s="35">
        <f t="shared" si="10"/>
        <v>99.33</v>
      </c>
      <c r="E226" s="35">
        <f t="shared" si="11"/>
        <v>103.84499999999998</v>
      </c>
    </row>
    <row r="227" spans="1:5" ht="15" customHeight="1" outlineLevel="1" x14ac:dyDescent="0.25">
      <c r="A227" s="11" t="s">
        <v>993</v>
      </c>
      <c r="B227" s="35">
        <f t="shared" si="9"/>
        <v>96.757499999999993</v>
      </c>
      <c r="C227" s="35">
        <f>95*(100-C$2)/100</f>
        <v>99.75</v>
      </c>
      <c r="D227" s="35">
        <f t="shared" si="10"/>
        <v>109.72500000000001</v>
      </c>
      <c r="E227" s="35">
        <f t="shared" si="11"/>
        <v>114.71249999999999</v>
      </c>
    </row>
    <row r="228" spans="1:5" ht="15" customHeight="1" outlineLevel="1" x14ac:dyDescent="0.25">
      <c r="A228" s="11" t="s">
        <v>994</v>
      </c>
      <c r="B228" s="35">
        <f t="shared" si="9"/>
        <v>100.83150000000001</v>
      </c>
      <c r="C228" s="35">
        <f>99*(100-C$2)/100</f>
        <v>103.95</v>
      </c>
      <c r="D228" s="35">
        <f t="shared" si="10"/>
        <v>114.34500000000001</v>
      </c>
      <c r="E228" s="35">
        <f t="shared" si="11"/>
        <v>119.54249999999999</v>
      </c>
    </row>
    <row r="229" spans="1:5" ht="15" customHeight="1" outlineLevel="1" x14ac:dyDescent="0.25">
      <c r="A229" s="11" t="s">
        <v>995</v>
      </c>
      <c r="B229" s="35">
        <f t="shared" si="9"/>
        <v>117.1275</v>
      </c>
      <c r="C229" s="35">
        <f>115*(100-C$2)/100</f>
        <v>120.75</v>
      </c>
      <c r="D229" s="35">
        <f t="shared" si="10"/>
        <v>132.82500000000002</v>
      </c>
      <c r="E229" s="35">
        <f t="shared" si="11"/>
        <v>138.86249999999998</v>
      </c>
    </row>
    <row r="230" spans="1:5" ht="15" customHeight="1" outlineLevel="1" x14ac:dyDescent="0.25">
      <c r="A230" s="11" t="s">
        <v>996</v>
      </c>
      <c r="B230" s="35">
        <f t="shared" si="9"/>
        <v>122.22</v>
      </c>
      <c r="C230" s="35">
        <f>120*(100-C$2)/100</f>
        <v>126</v>
      </c>
      <c r="D230" s="35">
        <f t="shared" si="10"/>
        <v>138.60000000000002</v>
      </c>
      <c r="E230" s="35">
        <f t="shared" si="11"/>
        <v>144.89999999999998</v>
      </c>
    </row>
    <row r="231" spans="1:5" ht="15" customHeight="1" outlineLevel="1" x14ac:dyDescent="0.25">
      <c r="A231" s="11" t="s">
        <v>997</v>
      </c>
      <c r="B231" s="35">
        <f t="shared" si="9"/>
        <v>132.405</v>
      </c>
      <c r="C231" s="35">
        <f>130*(100-C$2)/100</f>
        <v>136.5</v>
      </c>
      <c r="D231" s="35">
        <f t="shared" si="10"/>
        <v>150.15</v>
      </c>
      <c r="E231" s="35">
        <f t="shared" si="11"/>
        <v>156.97499999999999</v>
      </c>
    </row>
    <row r="232" spans="1:5" ht="15" customHeight="1" outlineLevel="1" x14ac:dyDescent="0.25">
      <c r="A232" s="11" t="s">
        <v>998</v>
      </c>
      <c r="B232" s="35">
        <f t="shared" si="9"/>
        <v>147.6825</v>
      </c>
      <c r="C232" s="35">
        <f>145*(100-C$2)/100</f>
        <v>152.25</v>
      </c>
      <c r="D232" s="35">
        <f t="shared" si="10"/>
        <v>167.47500000000002</v>
      </c>
      <c r="E232" s="35">
        <f t="shared" si="11"/>
        <v>175.08749999999998</v>
      </c>
    </row>
    <row r="233" spans="1:5" ht="20.100000000000001" customHeight="1" outlineLevel="1" x14ac:dyDescent="0.25">
      <c r="A233" s="167" t="s">
        <v>952</v>
      </c>
      <c r="B233" s="168"/>
      <c r="C233" s="168"/>
      <c r="D233" s="168"/>
      <c r="E233" s="169"/>
    </row>
    <row r="234" spans="1:5" ht="15" customHeight="1" outlineLevel="1" x14ac:dyDescent="0.25">
      <c r="A234" s="11" t="s">
        <v>885</v>
      </c>
      <c r="B234" s="35">
        <f t="shared" si="9"/>
        <v>285.18</v>
      </c>
      <c r="C234" s="35">
        <f>280*(100-C$2)/100</f>
        <v>294</v>
      </c>
      <c r="D234" s="35">
        <f t="shared" si="10"/>
        <v>323.40000000000003</v>
      </c>
      <c r="E234" s="35">
        <f t="shared" si="11"/>
        <v>338.09999999999997</v>
      </c>
    </row>
    <row r="235" spans="1:5" ht="15" customHeight="1" outlineLevel="1" x14ac:dyDescent="0.25">
      <c r="A235" s="11" t="s">
        <v>479</v>
      </c>
      <c r="B235" s="35">
        <f t="shared" si="9"/>
        <v>290.27249999999998</v>
      </c>
      <c r="C235" s="35">
        <f>285*(100-C$2)/100</f>
        <v>299.25</v>
      </c>
      <c r="D235" s="35">
        <f t="shared" si="10"/>
        <v>329.17500000000001</v>
      </c>
      <c r="E235" s="35">
        <f t="shared" si="11"/>
        <v>344.13749999999999</v>
      </c>
    </row>
    <row r="236" spans="1:5" ht="15" customHeight="1" outlineLevel="1" x14ac:dyDescent="0.25">
      <c r="A236" s="11" t="s">
        <v>888</v>
      </c>
      <c r="B236" s="35">
        <f t="shared" si="9"/>
        <v>300.45749999999998</v>
      </c>
      <c r="C236" s="35">
        <f>295*(100-C$2)/100</f>
        <v>309.75</v>
      </c>
      <c r="D236" s="35">
        <f t="shared" si="10"/>
        <v>340.72500000000002</v>
      </c>
      <c r="E236" s="35">
        <f t="shared" si="11"/>
        <v>356.21249999999998</v>
      </c>
    </row>
    <row r="237" spans="1:5" ht="15" customHeight="1" outlineLevel="1" x14ac:dyDescent="0.25">
      <c r="A237" s="11" t="s">
        <v>889</v>
      </c>
      <c r="B237" s="35">
        <f t="shared" si="9"/>
        <v>287.21700000000004</v>
      </c>
      <c r="C237" s="35">
        <f>282*(100-C$2)/100</f>
        <v>296.10000000000002</v>
      </c>
      <c r="D237" s="35">
        <f t="shared" si="10"/>
        <v>325.71000000000004</v>
      </c>
      <c r="E237" s="35">
        <f t="shared" si="11"/>
        <v>340.51499999999999</v>
      </c>
    </row>
    <row r="238" spans="1:5" ht="15" customHeight="1" outlineLevel="1" x14ac:dyDescent="0.25">
      <c r="A238" s="11" t="s">
        <v>480</v>
      </c>
      <c r="B238" s="35">
        <f t="shared" si="9"/>
        <v>295.36500000000001</v>
      </c>
      <c r="C238" s="35">
        <f>290*(100-C$2)/100</f>
        <v>304.5</v>
      </c>
      <c r="D238" s="35">
        <f t="shared" si="10"/>
        <v>334.95000000000005</v>
      </c>
      <c r="E238" s="35">
        <f t="shared" si="11"/>
        <v>350.17499999999995</v>
      </c>
    </row>
    <row r="239" spans="1:5" ht="15" customHeight="1" outlineLevel="1" x14ac:dyDescent="0.25">
      <c r="A239" s="11" t="s">
        <v>886</v>
      </c>
      <c r="B239" s="35">
        <f t="shared" si="9"/>
        <v>298.42049999999995</v>
      </c>
      <c r="C239" s="35">
        <f>293*(100-C$2)/100</f>
        <v>307.64999999999998</v>
      </c>
      <c r="D239" s="35">
        <f t="shared" si="10"/>
        <v>338.41500000000002</v>
      </c>
      <c r="E239" s="35">
        <f t="shared" si="11"/>
        <v>353.79749999999996</v>
      </c>
    </row>
    <row r="240" spans="1:5" ht="15" customHeight="1" outlineLevel="1" x14ac:dyDescent="0.25">
      <c r="A240" s="11" t="s">
        <v>887</v>
      </c>
      <c r="B240" s="35">
        <f t="shared" si="9"/>
        <v>299.43899999999996</v>
      </c>
      <c r="C240" s="35">
        <f>294*(100-C$2)/100</f>
        <v>308.7</v>
      </c>
      <c r="D240" s="35">
        <f t="shared" si="10"/>
        <v>339.57</v>
      </c>
      <c r="E240" s="35">
        <f t="shared" si="11"/>
        <v>355.00499999999994</v>
      </c>
    </row>
    <row r="241" spans="1:5" ht="15" customHeight="1" outlineLevel="1" x14ac:dyDescent="0.25">
      <c r="A241" s="11" t="s">
        <v>481</v>
      </c>
      <c r="B241" s="35">
        <f t="shared" si="9"/>
        <v>315.73500000000001</v>
      </c>
      <c r="C241" s="35">
        <f>310*(100-C$2)/100</f>
        <v>325.5</v>
      </c>
      <c r="D241" s="35">
        <f t="shared" si="10"/>
        <v>358.05</v>
      </c>
      <c r="E241" s="35">
        <f t="shared" si="11"/>
        <v>374.32499999999999</v>
      </c>
    </row>
    <row r="242" spans="1:5" ht="15" customHeight="1" outlineLevel="1" x14ac:dyDescent="0.25">
      <c r="A242" s="11" t="s">
        <v>482</v>
      </c>
      <c r="B242" s="35">
        <f t="shared" si="9"/>
        <v>331.01249999999999</v>
      </c>
      <c r="C242" s="35">
        <f>325*(100-C$2)/100</f>
        <v>341.25</v>
      </c>
      <c r="D242" s="35">
        <f t="shared" si="10"/>
        <v>375.37500000000006</v>
      </c>
      <c r="E242" s="35">
        <f t="shared" si="11"/>
        <v>392.43749999999994</v>
      </c>
    </row>
    <row r="243" spans="1:5" ht="15" customHeight="1" outlineLevel="1" x14ac:dyDescent="0.25">
      <c r="A243" s="11" t="s">
        <v>483</v>
      </c>
      <c r="B243" s="35">
        <f t="shared" si="9"/>
        <v>302.49450000000002</v>
      </c>
      <c r="C243" s="35">
        <f>297*(100-C$2)/100</f>
        <v>311.85000000000002</v>
      </c>
      <c r="D243" s="35">
        <f t="shared" si="10"/>
        <v>343.03500000000003</v>
      </c>
      <c r="E243" s="35">
        <f t="shared" si="11"/>
        <v>358.6275</v>
      </c>
    </row>
    <row r="244" spans="1:5" ht="15" customHeight="1" outlineLevel="1" x14ac:dyDescent="0.25">
      <c r="A244" s="11" t="s">
        <v>484</v>
      </c>
      <c r="B244" s="35">
        <f t="shared" si="9"/>
        <v>322.86450000000002</v>
      </c>
      <c r="C244" s="35">
        <f>317*(100-C$2)/100</f>
        <v>332.85</v>
      </c>
      <c r="D244" s="35">
        <f t="shared" si="10"/>
        <v>366.13500000000005</v>
      </c>
      <c r="E244" s="35">
        <f t="shared" si="11"/>
        <v>382.77749999999997</v>
      </c>
    </row>
    <row r="245" spans="1:5" ht="15" customHeight="1" outlineLevel="1" x14ac:dyDescent="0.25">
      <c r="A245" s="11" t="s">
        <v>485</v>
      </c>
      <c r="B245" s="35">
        <f t="shared" si="9"/>
        <v>340.17899999999997</v>
      </c>
      <c r="C245" s="35">
        <f>334*(100-C$2)/100</f>
        <v>350.7</v>
      </c>
      <c r="D245" s="35">
        <f t="shared" si="10"/>
        <v>385.77000000000004</v>
      </c>
      <c r="E245" s="35">
        <f t="shared" si="11"/>
        <v>403.30499999999995</v>
      </c>
    </row>
    <row r="246" spans="1:5" ht="15" customHeight="1" outlineLevel="1" x14ac:dyDescent="0.25">
      <c r="A246" s="11" t="s">
        <v>486</v>
      </c>
      <c r="B246" s="35">
        <f t="shared" si="9"/>
        <v>386.01149999999996</v>
      </c>
      <c r="C246" s="35">
        <f>379*(100-C$2)/100</f>
        <v>397.95</v>
      </c>
      <c r="D246" s="35">
        <f t="shared" si="10"/>
        <v>437.745</v>
      </c>
      <c r="E246" s="35">
        <f t="shared" si="11"/>
        <v>457.64249999999993</v>
      </c>
    </row>
    <row r="247" spans="1:5" ht="15" customHeight="1" outlineLevel="1" x14ac:dyDescent="0.25">
      <c r="A247" s="11" t="s">
        <v>487</v>
      </c>
      <c r="B247" s="35">
        <f t="shared" si="9"/>
        <v>307.58699999999999</v>
      </c>
      <c r="C247" s="35">
        <f>302*(100-C$2)/100</f>
        <v>317.10000000000002</v>
      </c>
      <c r="D247" s="35">
        <f t="shared" si="10"/>
        <v>348.81000000000006</v>
      </c>
      <c r="E247" s="35">
        <f t="shared" si="11"/>
        <v>364.66500000000002</v>
      </c>
    </row>
    <row r="248" spans="1:5" ht="15" customHeight="1" outlineLevel="1" x14ac:dyDescent="0.25">
      <c r="A248" s="11" t="s">
        <v>890</v>
      </c>
      <c r="B248" s="35">
        <f t="shared" si="9"/>
        <v>315.73500000000001</v>
      </c>
      <c r="C248" s="35">
        <f>310*(100-C$2)/100</f>
        <v>325.5</v>
      </c>
      <c r="D248" s="35">
        <f t="shared" si="10"/>
        <v>358.05</v>
      </c>
      <c r="E248" s="35">
        <f t="shared" si="11"/>
        <v>374.32499999999999</v>
      </c>
    </row>
    <row r="249" spans="1:5" ht="15" customHeight="1" outlineLevel="1" x14ac:dyDescent="0.25">
      <c r="A249" s="11" t="s">
        <v>891</v>
      </c>
      <c r="B249" s="35">
        <f t="shared" si="9"/>
        <v>316.75349999999997</v>
      </c>
      <c r="C249" s="35">
        <f>311*(100-C$2)/100</f>
        <v>326.55</v>
      </c>
      <c r="D249" s="35">
        <f t="shared" si="10"/>
        <v>359.20500000000004</v>
      </c>
      <c r="E249" s="35">
        <f t="shared" si="11"/>
        <v>375.53249999999997</v>
      </c>
    </row>
    <row r="250" spans="1:5" ht="15" customHeight="1" outlineLevel="1" x14ac:dyDescent="0.25">
      <c r="A250" s="11" t="s">
        <v>488</v>
      </c>
      <c r="B250" s="35">
        <f t="shared" si="9"/>
        <v>328.97549999999995</v>
      </c>
      <c r="C250" s="35">
        <f>323*(100-C$2)/100</f>
        <v>339.15</v>
      </c>
      <c r="D250" s="35">
        <f t="shared" si="10"/>
        <v>373.065</v>
      </c>
      <c r="E250" s="35">
        <f t="shared" si="11"/>
        <v>390.02249999999992</v>
      </c>
    </row>
    <row r="251" spans="1:5" ht="15" customHeight="1" outlineLevel="1" x14ac:dyDescent="0.25">
      <c r="A251" s="11" t="s">
        <v>489</v>
      </c>
      <c r="B251" s="35">
        <f t="shared" si="9"/>
        <v>348.327</v>
      </c>
      <c r="C251" s="35">
        <f>342*(100-C$2)/100</f>
        <v>359.1</v>
      </c>
      <c r="D251" s="35">
        <f t="shared" si="10"/>
        <v>395.01000000000005</v>
      </c>
      <c r="E251" s="35">
        <f t="shared" si="11"/>
        <v>412.96499999999997</v>
      </c>
    </row>
    <row r="252" spans="1:5" ht="15" customHeight="1" outlineLevel="1" x14ac:dyDescent="0.25">
      <c r="A252" s="11" t="s">
        <v>490</v>
      </c>
      <c r="B252" s="35">
        <f t="shared" si="9"/>
        <v>405.36299999999994</v>
      </c>
      <c r="C252" s="35">
        <f>398*(100-C$2)/100</f>
        <v>417.9</v>
      </c>
      <c r="D252" s="35">
        <f t="shared" si="10"/>
        <v>459.69</v>
      </c>
      <c r="E252" s="35">
        <f t="shared" si="11"/>
        <v>480.58499999999992</v>
      </c>
    </row>
    <row r="253" spans="1:5" ht="15" customHeight="1" outlineLevel="1" x14ac:dyDescent="0.25">
      <c r="A253" s="11" t="s">
        <v>491</v>
      </c>
      <c r="B253" s="35">
        <f t="shared" si="9"/>
        <v>454.25099999999998</v>
      </c>
      <c r="C253" s="35">
        <f>446*(100-C$2)/100</f>
        <v>468.3</v>
      </c>
      <c r="D253" s="35">
        <f t="shared" si="10"/>
        <v>515.13000000000011</v>
      </c>
      <c r="E253" s="35">
        <f t="shared" si="11"/>
        <v>538.54499999999996</v>
      </c>
    </row>
    <row r="254" spans="1:5" ht="15" customHeight="1" outlineLevel="1" x14ac:dyDescent="0.25">
      <c r="A254" s="11" t="s">
        <v>492</v>
      </c>
      <c r="B254" s="35">
        <f t="shared" si="9"/>
        <v>423.69600000000003</v>
      </c>
      <c r="C254" s="35">
        <f>416*(100-C$2)/100</f>
        <v>436.8</v>
      </c>
      <c r="D254" s="35">
        <f t="shared" si="10"/>
        <v>480.48000000000008</v>
      </c>
      <c r="E254" s="35">
        <f t="shared" si="11"/>
        <v>502.32</v>
      </c>
    </row>
    <row r="255" spans="1:5" ht="15" customHeight="1" outlineLevel="1" x14ac:dyDescent="0.25">
      <c r="A255" s="11" t="s">
        <v>493</v>
      </c>
      <c r="B255" s="35">
        <f t="shared" si="9"/>
        <v>439.99200000000002</v>
      </c>
      <c r="C255" s="35">
        <f>432*(100-C$2)/100</f>
        <v>453.6</v>
      </c>
      <c r="D255" s="35">
        <f t="shared" si="10"/>
        <v>498.96000000000009</v>
      </c>
      <c r="E255" s="35">
        <f t="shared" si="11"/>
        <v>521.64</v>
      </c>
    </row>
    <row r="256" spans="1:5" ht="15" customHeight="1" outlineLevel="1" x14ac:dyDescent="0.25">
      <c r="A256" s="11" t="s">
        <v>494</v>
      </c>
      <c r="B256" s="35">
        <f t="shared" si="9"/>
        <v>468.51</v>
      </c>
      <c r="C256" s="35">
        <f>460*(100-C$2)/100</f>
        <v>483</v>
      </c>
      <c r="D256" s="35">
        <f t="shared" si="10"/>
        <v>531.30000000000007</v>
      </c>
      <c r="E256" s="35">
        <f t="shared" si="11"/>
        <v>555.44999999999993</v>
      </c>
    </row>
    <row r="257" spans="1:5" ht="15" customHeight="1" outlineLevel="1" x14ac:dyDescent="0.25">
      <c r="A257" s="11" t="s">
        <v>495</v>
      </c>
      <c r="B257" s="35">
        <f t="shared" si="9"/>
        <v>514.34249999999997</v>
      </c>
      <c r="C257" s="35">
        <f>505*(100-C$2)/100</f>
        <v>530.25</v>
      </c>
      <c r="D257" s="35">
        <f t="shared" si="10"/>
        <v>583.27500000000009</v>
      </c>
      <c r="E257" s="35">
        <f t="shared" si="11"/>
        <v>609.78749999999991</v>
      </c>
    </row>
    <row r="258" spans="1:5" ht="15" customHeight="1" outlineLevel="1" x14ac:dyDescent="0.25">
      <c r="A258" s="11" t="s">
        <v>496</v>
      </c>
      <c r="B258" s="35">
        <f t="shared" si="9"/>
        <v>564.24900000000002</v>
      </c>
      <c r="C258" s="35">
        <f>554*(100-C$2)/100</f>
        <v>581.70000000000005</v>
      </c>
      <c r="D258" s="35">
        <f t="shared" si="10"/>
        <v>639.87000000000012</v>
      </c>
      <c r="E258" s="35">
        <f t="shared" si="11"/>
        <v>668.95500000000004</v>
      </c>
    </row>
    <row r="259" spans="1:5" ht="15" customHeight="1" outlineLevel="1" x14ac:dyDescent="0.25">
      <c r="A259" s="11" t="s">
        <v>497</v>
      </c>
      <c r="B259" s="35">
        <f t="shared" ref="B259:B321" si="12">C259*0.97</f>
        <v>429.80700000000002</v>
      </c>
      <c r="C259" s="35">
        <f>422*(100-C$2)/100</f>
        <v>443.1</v>
      </c>
      <c r="D259" s="35">
        <f t="shared" ref="D259:D321" si="13">C259*1.1</f>
        <v>487.41000000000008</v>
      </c>
      <c r="E259" s="35">
        <f t="shared" ref="E259:E321" si="14">C259*1.15</f>
        <v>509.565</v>
      </c>
    </row>
    <row r="260" spans="1:5" ht="15" customHeight="1" outlineLevel="1" x14ac:dyDescent="0.25">
      <c r="A260" s="11" t="s">
        <v>892</v>
      </c>
      <c r="B260" s="35">
        <f t="shared" si="12"/>
        <v>432.86250000000001</v>
      </c>
      <c r="C260" s="35">
        <f>425*(100-C$2)/100</f>
        <v>446.25</v>
      </c>
      <c r="D260" s="35">
        <f t="shared" si="13"/>
        <v>490.87500000000006</v>
      </c>
      <c r="E260" s="35">
        <f t="shared" si="14"/>
        <v>513.1875</v>
      </c>
    </row>
    <row r="261" spans="1:5" ht="15" customHeight="1" outlineLevel="1" x14ac:dyDescent="0.25">
      <c r="A261" s="11" t="s">
        <v>893</v>
      </c>
      <c r="B261" s="35">
        <f t="shared" si="12"/>
        <v>435.91799999999995</v>
      </c>
      <c r="C261" s="35">
        <f>428*(100-C$2)/100</f>
        <v>449.4</v>
      </c>
      <c r="D261" s="35">
        <f t="shared" si="13"/>
        <v>494.34000000000003</v>
      </c>
      <c r="E261" s="35">
        <f t="shared" si="14"/>
        <v>516.80999999999995</v>
      </c>
    </row>
    <row r="262" spans="1:5" ht="15" customHeight="1" outlineLevel="1" x14ac:dyDescent="0.25">
      <c r="A262" s="11" t="s">
        <v>498</v>
      </c>
      <c r="B262" s="35">
        <f t="shared" si="12"/>
        <v>454.25099999999998</v>
      </c>
      <c r="C262" s="35">
        <f>446*(100-C$2)/100</f>
        <v>468.3</v>
      </c>
      <c r="D262" s="35">
        <f t="shared" si="13"/>
        <v>515.13000000000011</v>
      </c>
      <c r="E262" s="35">
        <f t="shared" si="14"/>
        <v>538.54499999999996</v>
      </c>
    </row>
    <row r="263" spans="1:5" ht="15" customHeight="1" outlineLevel="1" x14ac:dyDescent="0.25">
      <c r="A263" s="11" t="s">
        <v>499</v>
      </c>
      <c r="B263" s="35">
        <f t="shared" si="12"/>
        <v>478.69499999999999</v>
      </c>
      <c r="C263" s="35">
        <f>470*(100-C$2)/100</f>
        <v>493.5</v>
      </c>
      <c r="D263" s="35">
        <f t="shared" si="13"/>
        <v>542.85</v>
      </c>
      <c r="E263" s="35">
        <f t="shared" si="14"/>
        <v>567.52499999999998</v>
      </c>
    </row>
    <row r="264" spans="1:5" ht="15" customHeight="1" outlineLevel="1" x14ac:dyDescent="0.25">
      <c r="A264" s="11" t="s">
        <v>500</v>
      </c>
      <c r="B264" s="35">
        <f t="shared" si="12"/>
        <v>526.56449999999995</v>
      </c>
      <c r="C264" s="35">
        <f>517*(100-C$2)/100</f>
        <v>542.85</v>
      </c>
      <c r="D264" s="35">
        <f t="shared" si="13"/>
        <v>597.1350000000001</v>
      </c>
      <c r="E264" s="35">
        <f t="shared" si="14"/>
        <v>624.27750000000003</v>
      </c>
    </row>
    <row r="265" spans="1:5" ht="15" customHeight="1" outlineLevel="1" x14ac:dyDescent="0.25">
      <c r="A265" s="11" t="s">
        <v>501</v>
      </c>
      <c r="B265" s="35">
        <f t="shared" si="12"/>
        <v>590.73</v>
      </c>
      <c r="C265" s="35">
        <f>580*(100-C$2)/100</f>
        <v>609</v>
      </c>
      <c r="D265" s="35">
        <f t="shared" si="13"/>
        <v>669.90000000000009</v>
      </c>
      <c r="E265" s="35">
        <f t="shared" si="14"/>
        <v>700.34999999999991</v>
      </c>
    </row>
    <row r="266" spans="1:5" ht="15" customHeight="1" outlineLevel="1" x14ac:dyDescent="0.25">
      <c r="A266" s="11" t="s">
        <v>502</v>
      </c>
      <c r="B266" s="35">
        <f t="shared" si="12"/>
        <v>538.78650000000005</v>
      </c>
      <c r="C266" s="35">
        <f>529*(100-C$2)/100</f>
        <v>555.45000000000005</v>
      </c>
      <c r="D266" s="35">
        <f t="shared" si="13"/>
        <v>610.99500000000012</v>
      </c>
      <c r="E266" s="35">
        <f t="shared" si="14"/>
        <v>638.76750000000004</v>
      </c>
    </row>
    <row r="267" spans="1:5" ht="15" customHeight="1" outlineLevel="1" x14ac:dyDescent="0.25">
      <c r="A267" s="11" t="s">
        <v>894</v>
      </c>
      <c r="B267" s="35">
        <f t="shared" si="12"/>
        <v>556.10099999999989</v>
      </c>
      <c r="C267" s="35">
        <f>546*(100-C$2)/100</f>
        <v>573.29999999999995</v>
      </c>
      <c r="D267" s="35">
        <f t="shared" si="13"/>
        <v>630.63</v>
      </c>
      <c r="E267" s="35">
        <f t="shared" si="14"/>
        <v>659.29499999999985</v>
      </c>
    </row>
    <row r="268" spans="1:5" ht="15" customHeight="1" outlineLevel="1" x14ac:dyDescent="0.25">
      <c r="A268" s="11" t="s">
        <v>895</v>
      </c>
      <c r="B268" s="35">
        <f t="shared" si="12"/>
        <v>557.11950000000002</v>
      </c>
      <c r="C268" s="35">
        <f>547*(100-C$2)/100</f>
        <v>574.35</v>
      </c>
      <c r="D268" s="35">
        <f t="shared" si="13"/>
        <v>631.78500000000008</v>
      </c>
      <c r="E268" s="35">
        <f t="shared" si="14"/>
        <v>660.50249999999994</v>
      </c>
    </row>
    <row r="269" spans="1:5" ht="15" customHeight="1" outlineLevel="1" x14ac:dyDescent="0.25">
      <c r="A269" s="11" t="s">
        <v>503</v>
      </c>
      <c r="B269" s="35">
        <f t="shared" si="12"/>
        <v>583.60050000000001</v>
      </c>
      <c r="C269" s="35">
        <f>573*(100-C$2)/100</f>
        <v>601.65</v>
      </c>
      <c r="D269" s="35">
        <f t="shared" si="13"/>
        <v>661.81500000000005</v>
      </c>
      <c r="E269" s="35">
        <f t="shared" si="14"/>
        <v>691.89749999999992</v>
      </c>
    </row>
    <row r="270" spans="1:5" ht="15" customHeight="1" outlineLevel="1" x14ac:dyDescent="0.25">
      <c r="A270" s="11" t="s">
        <v>504</v>
      </c>
      <c r="B270" s="35">
        <f t="shared" si="12"/>
        <v>604.98900000000003</v>
      </c>
      <c r="C270" s="35">
        <f>594*(100-C$2)/100</f>
        <v>623.70000000000005</v>
      </c>
      <c r="D270" s="35">
        <f t="shared" si="13"/>
        <v>686.07</v>
      </c>
      <c r="E270" s="35">
        <f t="shared" si="14"/>
        <v>717.255</v>
      </c>
    </row>
    <row r="271" spans="1:5" ht="15" customHeight="1" outlineLevel="1" x14ac:dyDescent="0.25">
      <c r="A271" s="11" t="s">
        <v>505</v>
      </c>
      <c r="B271" s="35">
        <f t="shared" si="12"/>
        <v>666.09900000000005</v>
      </c>
      <c r="C271" s="35">
        <f>654*(100-C$2)/100</f>
        <v>686.7</v>
      </c>
      <c r="D271" s="35">
        <f t="shared" si="13"/>
        <v>755.37000000000012</v>
      </c>
      <c r="E271" s="35">
        <f t="shared" si="14"/>
        <v>789.70500000000004</v>
      </c>
    </row>
    <row r="272" spans="1:5" ht="15" customHeight="1" outlineLevel="1" x14ac:dyDescent="0.25">
      <c r="A272" s="11" t="s">
        <v>506</v>
      </c>
      <c r="B272" s="35">
        <f t="shared" si="12"/>
        <v>745.54200000000003</v>
      </c>
      <c r="C272" s="35">
        <f>732*(100-C$2)/100</f>
        <v>768.6</v>
      </c>
      <c r="D272" s="35">
        <f t="shared" si="13"/>
        <v>845.46000000000015</v>
      </c>
      <c r="E272" s="35">
        <f t="shared" si="14"/>
        <v>883.89</v>
      </c>
    </row>
    <row r="273" spans="1:5" ht="15" customHeight="1" outlineLevel="1" x14ac:dyDescent="0.25">
      <c r="A273" s="11" t="s">
        <v>507</v>
      </c>
      <c r="B273" s="35">
        <f t="shared" si="12"/>
        <v>564.24900000000002</v>
      </c>
      <c r="C273" s="35">
        <f>554*(100-C$2)/100</f>
        <v>581.70000000000005</v>
      </c>
      <c r="D273" s="35">
        <f t="shared" si="13"/>
        <v>639.87000000000012</v>
      </c>
      <c r="E273" s="35">
        <f t="shared" si="14"/>
        <v>668.95500000000004</v>
      </c>
    </row>
    <row r="274" spans="1:5" ht="15" customHeight="1" outlineLevel="1" x14ac:dyDescent="0.25">
      <c r="A274" s="11" t="s">
        <v>896</v>
      </c>
      <c r="B274" s="35">
        <f t="shared" si="12"/>
        <v>575.45249999999999</v>
      </c>
      <c r="C274" s="35">
        <f>565*(100-C$2)/100</f>
        <v>593.25</v>
      </c>
      <c r="D274" s="35">
        <f t="shared" si="13"/>
        <v>652.57500000000005</v>
      </c>
      <c r="E274" s="35">
        <f t="shared" si="14"/>
        <v>682.23749999999995</v>
      </c>
    </row>
    <row r="275" spans="1:5" ht="15" customHeight="1" outlineLevel="1" x14ac:dyDescent="0.25">
      <c r="A275" s="11" t="s">
        <v>897</v>
      </c>
      <c r="B275" s="35">
        <f t="shared" si="12"/>
        <v>578.50799999999992</v>
      </c>
      <c r="C275" s="35">
        <f>568*(100-C$2)/100</f>
        <v>596.4</v>
      </c>
      <c r="D275" s="35">
        <f t="shared" si="13"/>
        <v>656.04000000000008</v>
      </c>
      <c r="E275" s="35">
        <f t="shared" si="14"/>
        <v>685.8599999999999</v>
      </c>
    </row>
    <row r="276" spans="1:5" ht="15" customHeight="1" outlineLevel="1" x14ac:dyDescent="0.25">
      <c r="A276" s="11" t="s">
        <v>508</v>
      </c>
      <c r="B276" s="35">
        <f t="shared" si="12"/>
        <v>601.93349999999998</v>
      </c>
      <c r="C276" s="35">
        <f>591*(100-C$2)/100</f>
        <v>620.54999999999995</v>
      </c>
      <c r="D276" s="35">
        <f t="shared" si="13"/>
        <v>682.60500000000002</v>
      </c>
      <c r="E276" s="35">
        <f t="shared" si="14"/>
        <v>713.63249999999994</v>
      </c>
    </row>
    <row r="277" spans="1:5" ht="15" customHeight="1" outlineLevel="1" x14ac:dyDescent="0.25">
      <c r="A277" s="11" t="s">
        <v>509</v>
      </c>
      <c r="B277" s="35">
        <f t="shared" si="12"/>
        <v>629.43299999999999</v>
      </c>
      <c r="C277" s="35">
        <f>618*(100-C$2)/100</f>
        <v>648.9</v>
      </c>
      <c r="D277" s="35">
        <f t="shared" si="13"/>
        <v>713.79000000000008</v>
      </c>
      <c r="E277" s="35">
        <f t="shared" si="14"/>
        <v>746.2349999999999</v>
      </c>
    </row>
    <row r="278" spans="1:5" ht="15" customHeight="1" outlineLevel="1" x14ac:dyDescent="0.25">
      <c r="A278" s="11" t="s">
        <v>510</v>
      </c>
      <c r="B278" s="35">
        <f t="shared" si="12"/>
        <v>704.80200000000002</v>
      </c>
      <c r="C278" s="35">
        <f>692*(100-C$2)/100</f>
        <v>726.6</v>
      </c>
      <c r="D278" s="35">
        <f t="shared" si="13"/>
        <v>799.2600000000001</v>
      </c>
      <c r="E278" s="35">
        <f t="shared" si="14"/>
        <v>835.58999999999992</v>
      </c>
    </row>
    <row r="279" spans="1:5" ht="15" customHeight="1" outlineLevel="1" x14ac:dyDescent="0.25">
      <c r="A279" s="11" t="s">
        <v>511</v>
      </c>
      <c r="B279" s="35">
        <f t="shared" si="12"/>
        <v>772.02299999999991</v>
      </c>
      <c r="C279" s="35">
        <f>758*(100-C$2)/100</f>
        <v>795.9</v>
      </c>
      <c r="D279" s="35">
        <f t="shared" si="13"/>
        <v>875.49</v>
      </c>
      <c r="E279" s="35">
        <f t="shared" si="14"/>
        <v>915.28499999999985</v>
      </c>
    </row>
    <row r="280" spans="1:5" ht="20.100000000000001" customHeight="1" outlineLevel="1" x14ac:dyDescent="0.25">
      <c r="A280" s="167" t="s">
        <v>953</v>
      </c>
      <c r="B280" s="168"/>
      <c r="C280" s="168"/>
      <c r="D280" s="168"/>
      <c r="E280" s="169"/>
    </row>
    <row r="281" spans="1:5" ht="15" customHeight="1" outlineLevel="1" x14ac:dyDescent="0.25">
      <c r="A281" s="11" t="s">
        <v>512</v>
      </c>
      <c r="B281" s="35">
        <f t="shared" si="12"/>
        <v>83.516999999999996</v>
      </c>
      <c r="C281" s="35">
        <f>82*(100-C$2)/100</f>
        <v>86.1</v>
      </c>
      <c r="D281" s="35">
        <f t="shared" si="13"/>
        <v>94.710000000000008</v>
      </c>
      <c r="E281" s="35">
        <f t="shared" si="14"/>
        <v>99.014999999999986</v>
      </c>
    </row>
    <row r="282" spans="1:5" ht="15" customHeight="1" outlineLevel="1" x14ac:dyDescent="0.25">
      <c r="A282" s="11" t="s">
        <v>979</v>
      </c>
      <c r="B282" s="35">
        <f t="shared" si="12"/>
        <v>84.535499999999999</v>
      </c>
      <c r="C282" s="35">
        <f>83*(100-C$2)/100</f>
        <v>87.15</v>
      </c>
      <c r="D282" s="35">
        <f t="shared" si="13"/>
        <v>95.865000000000009</v>
      </c>
      <c r="E282" s="35">
        <f t="shared" si="14"/>
        <v>100.2225</v>
      </c>
    </row>
    <row r="283" spans="1:5" ht="15" customHeight="1" outlineLevel="1" x14ac:dyDescent="0.25">
      <c r="A283" s="11" t="s">
        <v>513</v>
      </c>
      <c r="B283" s="35">
        <f t="shared" si="12"/>
        <v>87.590999999999994</v>
      </c>
      <c r="C283" s="35">
        <f>86*(100-C$2)/100</f>
        <v>90.3</v>
      </c>
      <c r="D283" s="35">
        <f t="shared" si="13"/>
        <v>99.33</v>
      </c>
      <c r="E283" s="35">
        <f t="shared" si="14"/>
        <v>103.84499999999998</v>
      </c>
    </row>
    <row r="284" spans="1:5" ht="15" customHeight="1" outlineLevel="1" x14ac:dyDescent="0.25">
      <c r="A284" s="11" t="s">
        <v>514</v>
      </c>
      <c r="B284" s="35">
        <f t="shared" si="12"/>
        <v>96.757499999999993</v>
      </c>
      <c r="C284" s="35">
        <f>95*(100-C$2)/100</f>
        <v>99.75</v>
      </c>
      <c r="D284" s="35">
        <f t="shared" si="13"/>
        <v>109.72500000000001</v>
      </c>
      <c r="E284" s="35">
        <f t="shared" si="14"/>
        <v>114.71249999999999</v>
      </c>
    </row>
    <row r="285" spans="1:5" ht="15" customHeight="1" outlineLevel="1" x14ac:dyDescent="0.25">
      <c r="A285" s="11" t="s">
        <v>515</v>
      </c>
      <c r="B285" s="35">
        <f t="shared" si="12"/>
        <v>100.83150000000001</v>
      </c>
      <c r="C285" s="35">
        <f>99*(100-C$2)/100</f>
        <v>103.95</v>
      </c>
      <c r="D285" s="35">
        <f t="shared" si="13"/>
        <v>114.34500000000001</v>
      </c>
      <c r="E285" s="35">
        <f t="shared" si="14"/>
        <v>119.54249999999999</v>
      </c>
    </row>
    <row r="286" spans="1:5" ht="15" customHeight="1" outlineLevel="1" x14ac:dyDescent="0.25">
      <c r="A286" s="11" t="s">
        <v>516</v>
      </c>
      <c r="B286" s="35">
        <f t="shared" si="12"/>
        <v>117.1275</v>
      </c>
      <c r="C286" s="35">
        <f>115*(100-C$2)/100</f>
        <v>120.75</v>
      </c>
      <c r="D286" s="35">
        <f t="shared" si="13"/>
        <v>132.82500000000002</v>
      </c>
      <c r="E286" s="35">
        <f t="shared" si="14"/>
        <v>138.86249999999998</v>
      </c>
    </row>
    <row r="287" spans="1:5" ht="15" customHeight="1" outlineLevel="1" x14ac:dyDescent="0.25">
      <c r="A287" s="11" t="s">
        <v>517</v>
      </c>
      <c r="B287" s="35">
        <f t="shared" si="12"/>
        <v>122.22</v>
      </c>
      <c r="C287" s="35">
        <f>120*(100-C$2)/100</f>
        <v>126</v>
      </c>
      <c r="D287" s="35">
        <f t="shared" si="13"/>
        <v>138.60000000000002</v>
      </c>
      <c r="E287" s="35">
        <f t="shared" si="14"/>
        <v>144.89999999999998</v>
      </c>
    </row>
    <row r="288" spans="1:5" ht="15" customHeight="1" outlineLevel="1" x14ac:dyDescent="0.25">
      <c r="A288" s="11" t="s">
        <v>518</v>
      </c>
      <c r="B288" s="35">
        <f t="shared" si="12"/>
        <v>132.405</v>
      </c>
      <c r="C288" s="35">
        <f>130*(100-C$2)/100</f>
        <v>136.5</v>
      </c>
      <c r="D288" s="35">
        <f t="shared" si="13"/>
        <v>150.15</v>
      </c>
      <c r="E288" s="35">
        <f t="shared" si="14"/>
        <v>156.97499999999999</v>
      </c>
    </row>
    <row r="289" spans="1:5" ht="15" customHeight="1" outlineLevel="1" x14ac:dyDescent="0.25">
      <c r="A289" s="11" t="s">
        <v>519</v>
      </c>
      <c r="B289" s="35">
        <f t="shared" si="12"/>
        <v>147.6825</v>
      </c>
      <c r="C289" s="35">
        <f>145*(100-C$2)/100</f>
        <v>152.25</v>
      </c>
      <c r="D289" s="35">
        <f t="shared" si="13"/>
        <v>167.47500000000002</v>
      </c>
      <c r="E289" s="35">
        <f t="shared" si="14"/>
        <v>175.08749999999998</v>
      </c>
    </row>
    <row r="290" spans="1:5" ht="20.100000000000001" customHeight="1" outlineLevel="1" x14ac:dyDescent="0.25">
      <c r="A290" s="167" t="s">
        <v>954</v>
      </c>
      <c r="B290" s="168"/>
      <c r="C290" s="168"/>
      <c r="D290" s="168"/>
      <c r="E290" s="169"/>
    </row>
    <row r="291" spans="1:5" ht="15" customHeight="1" outlineLevel="1" x14ac:dyDescent="0.25">
      <c r="A291" s="11" t="s">
        <v>898</v>
      </c>
      <c r="B291" s="35">
        <f t="shared" si="12"/>
        <v>285.18</v>
      </c>
      <c r="C291" s="35">
        <f>280*(100-C$2)/100</f>
        <v>294</v>
      </c>
      <c r="D291" s="35">
        <f t="shared" si="13"/>
        <v>323.40000000000003</v>
      </c>
      <c r="E291" s="35">
        <f t="shared" si="14"/>
        <v>338.09999999999997</v>
      </c>
    </row>
    <row r="292" spans="1:5" ht="15" customHeight="1" outlineLevel="1" x14ac:dyDescent="0.25">
      <c r="A292" s="11" t="s">
        <v>520</v>
      </c>
      <c r="B292" s="35">
        <f t="shared" si="12"/>
        <v>290.27249999999998</v>
      </c>
      <c r="C292" s="35">
        <f>285*(100-C$2)/100</f>
        <v>299.25</v>
      </c>
      <c r="D292" s="35">
        <f t="shared" si="13"/>
        <v>329.17500000000001</v>
      </c>
      <c r="E292" s="35">
        <f t="shared" si="14"/>
        <v>344.13749999999999</v>
      </c>
    </row>
    <row r="293" spans="1:5" ht="15" customHeight="1" outlineLevel="1" x14ac:dyDescent="0.25">
      <c r="A293" s="11" t="s">
        <v>901</v>
      </c>
      <c r="B293" s="35">
        <f t="shared" si="12"/>
        <v>300.45749999999998</v>
      </c>
      <c r="C293" s="35">
        <f>295*(100-C$2)/100</f>
        <v>309.75</v>
      </c>
      <c r="D293" s="35">
        <f t="shared" si="13"/>
        <v>340.72500000000002</v>
      </c>
      <c r="E293" s="35">
        <f t="shared" si="14"/>
        <v>356.21249999999998</v>
      </c>
    </row>
    <row r="294" spans="1:5" ht="15" customHeight="1" outlineLevel="1" x14ac:dyDescent="0.25">
      <c r="A294" s="11" t="s">
        <v>902</v>
      </c>
      <c r="B294" s="35">
        <f t="shared" si="12"/>
        <v>287.21700000000004</v>
      </c>
      <c r="C294" s="35">
        <f>282*(100-C$2)/100</f>
        <v>296.10000000000002</v>
      </c>
      <c r="D294" s="35">
        <f t="shared" si="13"/>
        <v>325.71000000000004</v>
      </c>
      <c r="E294" s="35">
        <f t="shared" si="14"/>
        <v>340.51499999999999</v>
      </c>
    </row>
    <row r="295" spans="1:5" ht="15" customHeight="1" outlineLevel="1" x14ac:dyDescent="0.25">
      <c r="A295" s="11" t="s">
        <v>521</v>
      </c>
      <c r="B295" s="35">
        <f t="shared" si="12"/>
        <v>295.36500000000001</v>
      </c>
      <c r="C295" s="35">
        <f>290*(100-C$2)/100</f>
        <v>304.5</v>
      </c>
      <c r="D295" s="35">
        <f t="shared" si="13"/>
        <v>334.95000000000005</v>
      </c>
      <c r="E295" s="35">
        <f t="shared" si="14"/>
        <v>350.17499999999995</v>
      </c>
    </row>
    <row r="296" spans="1:5" ht="15" customHeight="1" outlineLevel="1" x14ac:dyDescent="0.25">
      <c r="A296" s="11" t="s">
        <v>899</v>
      </c>
      <c r="B296" s="35">
        <f t="shared" si="12"/>
        <v>298.42049999999995</v>
      </c>
      <c r="C296" s="35">
        <f>293*(100-C$2)/100</f>
        <v>307.64999999999998</v>
      </c>
      <c r="D296" s="35">
        <f t="shared" si="13"/>
        <v>338.41500000000002</v>
      </c>
      <c r="E296" s="35">
        <f t="shared" si="14"/>
        <v>353.79749999999996</v>
      </c>
    </row>
    <row r="297" spans="1:5" ht="15" customHeight="1" outlineLevel="1" x14ac:dyDescent="0.25">
      <c r="A297" s="11" t="s">
        <v>900</v>
      </c>
      <c r="B297" s="35">
        <f t="shared" si="12"/>
        <v>299.43899999999996</v>
      </c>
      <c r="C297" s="35">
        <f>294*(100-C$2)/100</f>
        <v>308.7</v>
      </c>
      <c r="D297" s="35">
        <f t="shared" si="13"/>
        <v>339.57</v>
      </c>
      <c r="E297" s="35">
        <f t="shared" si="14"/>
        <v>355.00499999999994</v>
      </c>
    </row>
    <row r="298" spans="1:5" ht="15" customHeight="1" outlineLevel="1" x14ac:dyDescent="0.25">
      <c r="A298" s="11" t="s">
        <v>522</v>
      </c>
      <c r="B298" s="35">
        <f t="shared" si="12"/>
        <v>315.73500000000001</v>
      </c>
      <c r="C298" s="35">
        <f>310*(100-C$2)/100</f>
        <v>325.5</v>
      </c>
      <c r="D298" s="35">
        <f t="shared" si="13"/>
        <v>358.05</v>
      </c>
      <c r="E298" s="35">
        <f t="shared" si="14"/>
        <v>374.32499999999999</v>
      </c>
    </row>
    <row r="299" spans="1:5" ht="15" customHeight="1" outlineLevel="1" x14ac:dyDescent="0.25">
      <c r="A299" s="11" t="s">
        <v>523</v>
      </c>
      <c r="B299" s="35">
        <f t="shared" si="12"/>
        <v>331.01249999999999</v>
      </c>
      <c r="C299" s="35">
        <f>325*(100-C$2)/100</f>
        <v>341.25</v>
      </c>
      <c r="D299" s="35">
        <f t="shared" si="13"/>
        <v>375.37500000000006</v>
      </c>
      <c r="E299" s="35">
        <f t="shared" si="14"/>
        <v>392.43749999999994</v>
      </c>
    </row>
    <row r="300" spans="1:5" ht="15" customHeight="1" outlineLevel="1" x14ac:dyDescent="0.25">
      <c r="A300" s="11" t="s">
        <v>524</v>
      </c>
      <c r="B300" s="35">
        <f t="shared" si="12"/>
        <v>302.49450000000002</v>
      </c>
      <c r="C300" s="35">
        <f>297*(100-C$2)/100</f>
        <v>311.85000000000002</v>
      </c>
      <c r="D300" s="35">
        <f t="shared" si="13"/>
        <v>343.03500000000003</v>
      </c>
      <c r="E300" s="35">
        <f t="shared" si="14"/>
        <v>358.6275</v>
      </c>
    </row>
    <row r="301" spans="1:5" ht="15" customHeight="1" outlineLevel="1" x14ac:dyDescent="0.25">
      <c r="A301" s="11" t="s">
        <v>525</v>
      </c>
      <c r="B301" s="35">
        <f t="shared" si="12"/>
        <v>322.86450000000002</v>
      </c>
      <c r="C301" s="35">
        <f>317*(100-C$2)/100</f>
        <v>332.85</v>
      </c>
      <c r="D301" s="35">
        <f t="shared" si="13"/>
        <v>366.13500000000005</v>
      </c>
      <c r="E301" s="35">
        <f t="shared" si="14"/>
        <v>382.77749999999997</v>
      </c>
    </row>
    <row r="302" spans="1:5" ht="15" customHeight="1" outlineLevel="1" x14ac:dyDescent="0.25">
      <c r="A302" s="11" t="s">
        <v>526</v>
      </c>
      <c r="B302" s="35">
        <f t="shared" si="12"/>
        <v>340.17899999999997</v>
      </c>
      <c r="C302" s="35">
        <f>334*(100-C$2)/100</f>
        <v>350.7</v>
      </c>
      <c r="D302" s="35">
        <f t="shared" si="13"/>
        <v>385.77000000000004</v>
      </c>
      <c r="E302" s="35">
        <f t="shared" si="14"/>
        <v>403.30499999999995</v>
      </c>
    </row>
    <row r="303" spans="1:5" ht="15" customHeight="1" outlineLevel="1" x14ac:dyDescent="0.25">
      <c r="A303" s="11" t="s">
        <v>527</v>
      </c>
      <c r="B303" s="35">
        <f t="shared" si="12"/>
        <v>386.01149999999996</v>
      </c>
      <c r="C303" s="35">
        <f>379*(100-C$2)/100</f>
        <v>397.95</v>
      </c>
      <c r="D303" s="35">
        <f t="shared" si="13"/>
        <v>437.745</v>
      </c>
      <c r="E303" s="35">
        <f t="shared" si="14"/>
        <v>457.64249999999993</v>
      </c>
    </row>
    <row r="304" spans="1:5" ht="15" customHeight="1" outlineLevel="1" x14ac:dyDescent="0.25">
      <c r="A304" s="11" t="s">
        <v>528</v>
      </c>
      <c r="B304" s="35">
        <f t="shared" si="12"/>
        <v>307.58699999999999</v>
      </c>
      <c r="C304" s="35">
        <f>302*(100-C$2)/100</f>
        <v>317.10000000000002</v>
      </c>
      <c r="D304" s="35">
        <f t="shared" si="13"/>
        <v>348.81000000000006</v>
      </c>
      <c r="E304" s="35">
        <f t="shared" si="14"/>
        <v>364.66500000000002</v>
      </c>
    </row>
    <row r="305" spans="1:5" ht="15" customHeight="1" outlineLevel="1" x14ac:dyDescent="0.25">
      <c r="A305" s="11" t="s">
        <v>903</v>
      </c>
      <c r="B305" s="35">
        <f t="shared" si="12"/>
        <v>315.73500000000001</v>
      </c>
      <c r="C305" s="35">
        <f>310*(100-C$2)/100</f>
        <v>325.5</v>
      </c>
      <c r="D305" s="35">
        <f t="shared" si="13"/>
        <v>358.05</v>
      </c>
      <c r="E305" s="35">
        <f t="shared" si="14"/>
        <v>374.32499999999999</v>
      </c>
    </row>
    <row r="306" spans="1:5" ht="15" customHeight="1" outlineLevel="1" x14ac:dyDescent="0.25">
      <c r="A306" s="11" t="s">
        <v>904</v>
      </c>
      <c r="B306" s="35">
        <f t="shared" si="12"/>
        <v>316.75349999999997</v>
      </c>
      <c r="C306" s="35">
        <f>311*(100-C$2)/100</f>
        <v>326.55</v>
      </c>
      <c r="D306" s="35">
        <f t="shared" si="13"/>
        <v>359.20500000000004</v>
      </c>
      <c r="E306" s="35">
        <f t="shared" si="14"/>
        <v>375.53249999999997</v>
      </c>
    </row>
    <row r="307" spans="1:5" ht="15" customHeight="1" outlineLevel="1" x14ac:dyDescent="0.25">
      <c r="A307" s="11" t="s">
        <v>529</v>
      </c>
      <c r="B307" s="35">
        <f t="shared" si="12"/>
        <v>328.97549999999995</v>
      </c>
      <c r="C307" s="35">
        <f>323*(100-C$2)/100</f>
        <v>339.15</v>
      </c>
      <c r="D307" s="35">
        <f t="shared" si="13"/>
        <v>373.065</v>
      </c>
      <c r="E307" s="35">
        <f t="shared" si="14"/>
        <v>390.02249999999992</v>
      </c>
    </row>
    <row r="308" spans="1:5" ht="15" customHeight="1" outlineLevel="1" x14ac:dyDescent="0.25">
      <c r="A308" s="11" t="s">
        <v>530</v>
      </c>
      <c r="B308" s="35">
        <f t="shared" si="12"/>
        <v>348.327</v>
      </c>
      <c r="C308" s="35">
        <f>342*(100-C$2)/100</f>
        <v>359.1</v>
      </c>
      <c r="D308" s="35">
        <f t="shared" si="13"/>
        <v>395.01000000000005</v>
      </c>
      <c r="E308" s="35">
        <f t="shared" si="14"/>
        <v>412.96499999999997</v>
      </c>
    </row>
    <row r="309" spans="1:5" ht="15" customHeight="1" outlineLevel="1" x14ac:dyDescent="0.25">
      <c r="A309" s="11" t="s">
        <v>531</v>
      </c>
      <c r="B309" s="35">
        <f t="shared" si="12"/>
        <v>405.36299999999994</v>
      </c>
      <c r="C309" s="35">
        <f>398*(100-C$2)/100</f>
        <v>417.9</v>
      </c>
      <c r="D309" s="35">
        <f t="shared" si="13"/>
        <v>459.69</v>
      </c>
      <c r="E309" s="35">
        <f t="shared" si="14"/>
        <v>480.58499999999992</v>
      </c>
    </row>
    <row r="310" spans="1:5" ht="15" customHeight="1" outlineLevel="1" x14ac:dyDescent="0.25">
      <c r="A310" s="11" t="s">
        <v>532</v>
      </c>
      <c r="B310" s="35">
        <f t="shared" si="12"/>
        <v>454.25099999999998</v>
      </c>
      <c r="C310" s="35">
        <f>446*(100-C$2)/100</f>
        <v>468.3</v>
      </c>
      <c r="D310" s="35">
        <f t="shared" si="13"/>
        <v>515.13000000000011</v>
      </c>
      <c r="E310" s="35">
        <f t="shared" si="14"/>
        <v>538.54499999999996</v>
      </c>
    </row>
    <row r="311" spans="1:5" ht="15" customHeight="1" outlineLevel="1" x14ac:dyDescent="0.25">
      <c r="A311" s="11" t="s">
        <v>533</v>
      </c>
      <c r="B311" s="35">
        <f t="shared" si="12"/>
        <v>423.69600000000003</v>
      </c>
      <c r="C311" s="35">
        <f>416*(100-C$2)/100</f>
        <v>436.8</v>
      </c>
      <c r="D311" s="35">
        <f t="shared" si="13"/>
        <v>480.48000000000008</v>
      </c>
      <c r="E311" s="35">
        <f t="shared" si="14"/>
        <v>502.32</v>
      </c>
    </row>
    <row r="312" spans="1:5" ht="15" customHeight="1" outlineLevel="1" x14ac:dyDescent="0.25">
      <c r="A312" s="11" t="s">
        <v>534</v>
      </c>
      <c r="B312" s="35">
        <f t="shared" si="12"/>
        <v>439.99200000000002</v>
      </c>
      <c r="C312" s="35">
        <f>432*(100-C$2)/100</f>
        <v>453.6</v>
      </c>
      <c r="D312" s="35">
        <f t="shared" si="13"/>
        <v>498.96000000000009</v>
      </c>
      <c r="E312" s="35">
        <f t="shared" si="14"/>
        <v>521.64</v>
      </c>
    </row>
    <row r="313" spans="1:5" ht="15" customHeight="1" outlineLevel="1" x14ac:dyDescent="0.25">
      <c r="A313" s="11" t="s">
        <v>535</v>
      </c>
      <c r="B313" s="35">
        <f t="shared" si="12"/>
        <v>468.51</v>
      </c>
      <c r="C313" s="35">
        <f>460*(100-C$2)/100</f>
        <v>483</v>
      </c>
      <c r="D313" s="35">
        <f t="shared" si="13"/>
        <v>531.30000000000007</v>
      </c>
      <c r="E313" s="35">
        <f t="shared" si="14"/>
        <v>555.44999999999993</v>
      </c>
    </row>
    <row r="314" spans="1:5" ht="15" customHeight="1" outlineLevel="1" x14ac:dyDescent="0.25">
      <c r="A314" s="11" t="s">
        <v>536</v>
      </c>
      <c r="B314" s="35">
        <f t="shared" si="12"/>
        <v>514.34249999999997</v>
      </c>
      <c r="C314" s="35">
        <f>505*(100-C$2)/100</f>
        <v>530.25</v>
      </c>
      <c r="D314" s="35">
        <f t="shared" si="13"/>
        <v>583.27500000000009</v>
      </c>
      <c r="E314" s="35">
        <f t="shared" si="14"/>
        <v>609.78749999999991</v>
      </c>
    </row>
    <row r="315" spans="1:5" ht="15" customHeight="1" outlineLevel="1" x14ac:dyDescent="0.25">
      <c r="A315" s="11" t="s">
        <v>537</v>
      </c>
      <c r="B315" s="35">
        <f t="shared" si="12"/>
        <v>564.24900000000002</v>
      </c>
      <c r="C315" s="35">
        <f>554*(100-C$2)/100</f>
        <v>581.70000000000005</v>
      </c>
      <c r="D315" s="35">
        <f t="shared" si="13"/>
        <v>639.87000000000012</v>
      </c>
      <c r="E315" s="35">
        <f t="shared" si="14"/>
        <v>668.95500000000004</v>
      </c>
    </row>
    <row r="316" spans="1:5" ht="15" customHeight="1" outlineLevel="1" x14ac:dyDescent="0.25">
      <c r="A316" s="11" t="s">
        <v>538</v>
      </c>
      <c r="B316" s="35">
        <f t="shared" si="12"/>
        <v>429.80700000000002</v>
      </c>
      <c r="C316" s="35">
        <f>422*(100-C$2)/100</f>
        <v>443.1</v>
      </c>
      <c r="D316" s="35">
        <f t="shared" si="13"/>
        <v>487.41000000000008</v>
      </c>
      <c r="E316" s="35">
        <f t="shared" si="14"/>
        <v>509.565</v>
      </c>
    </row>
    <row r="317" spans="1:5" ht="15" customHeight="1" outlineLevel="1" x14ac:dyDescent="0.25">
      <c r="A317" s="11" t="s">
        <v>905</v>
      </c>
      <c r="B317" s="35">
        <f t="shared" si="12"/>
        <v>432.86250000000001</v>
      </c>
      <c r="C317" s="35">
        <f>425*(100-C$2)/100</f>
        <v>446.25</v>
      </c>
      <c r="D317" s="35">
        <f t="shared" si="13"/>
        <v>490.87500000000006</v>
      </c>
      <c r="E317" s="35">
        <f t="shared" si="14"/>
        <v>513.1875</v>
      </c>
    </row>
    <row r="318" spans="1:5" ht="15" customHeight="1" outlineLevel="1" x14ac:dyDescent="0.25">
      <c r="A318" s="11" t="s">
        <v>906</v>
      </c>
      <c r="B318" s="35">
        <f t="shared" si="12"/>
        <v>435.91799999999995</v>
      </c>
      <c r="C318" s="35">
        <f>428*(100-C$2)/100</f>
        <v>449.4</v>
      </c>
      <c r="D318" s="35">
        <f t="shared" si="13"/>
        <v>494.34000000000003</v>
      </c>
      <c r="E318" s="35">
        <f t="shared" si="14"/>
        <v>516.80999999999995</v>
      </c>
    </row>
    <row r="319" spans="1:5" ht="15" customHeight="1" outlineLevel="1" x14ac:dyDescent="0.25">
      <c r="A319" s="11" t="s">
        <v>539</v>
      </c>
      <c r="B319" s="35">
        <f t="shared" si="12"/>
        <v>454.25099999999998</v>
      </c>
      <c r="C319" s="35">
        <f>446*(100-C$2)/100</f>
        <v>468.3</v>
      </c>
      <c r="D319" s="35">
        <f t="shared" si="13"/>
        <v>515.13000000000011</v>
      </c>
      <c r="E319" s="35">
        <f t="shared" si="14"/>
        <v>538.54499999999996</v>
      </c>
    </row>
    <row r="320" spans="1:5" ht="15" customHeight="1" outlineLevel="1" x14ac:dyDescent="0.25">
      <c r="A320" s="11" t="s">
        <v>540</v>
      </c>
      <c r="B320" s="35">
        <f t="shared" si="12"/>
        <v>478.69499999999999</v>
      </c>
      <c r="C320" s="35">
        <f>470*(100-C$2)/100</f>
        <v>493.5</v>
      </c>
      <c r="D320" s="35">
        <f t="shared" si="13"/>
        <v>542.85</v>
      </c>
      <c r="E320" s="35">
        <f t="shared" si="14"/>
        <v>567.52499999999998</v>
      </c>
    </row>
    <row r="321" spans="1:5" ht="15" customHeight="1" outlineLevel="1" x14ac:dyDescent="0.25">
      <c r="A321" s="11" t="s">
        <v>541</v>
      </c>
      <c r="B321" s="35">
        <f t="shared" si="12"/>
        <v>526.56449999999995</v>
      </c>
      <c r="C321" s="35">
        <f>517*(100-C$2)/100</f>
        <v>542.85</v>
      </c>
      <c r="D321" s="35">
        <f t="shared" si="13"/>
        <v>597.1350000000001</v>
      </c>
      <c r="E321" s="35">
        <f t="shared" si="14"/>
        <v>624.27750000000003</v>
      </c>
    </row>
    <row r="322" spans="1:5" ht="15" customHeight="1" outlineLevel="1" x14ac:dyDescent="0.25">
      <c r="A322" s="11" t="s">
        <v>542</v>
      </c>
      <c r="B322" s="35">
        <f t="shared" ref="B322:B384" si="15">C322*0.97</f>
        <v>590.73</v>
      </c>
      <c r="C322" s="35">
        <f>580*(100-C$2)/100</f>
        <v>609</v>
      </c>
      <c r="D322" s="35">
        <f t="shared" ref="D322:D384" si="16">C322*1.1</f>
        <v>669.90000000000009</v>
      </c>
      <c r="E322" s="35">
        <f t="shared" ref="E322:E384" si="17">C322*1.15</f>
        <v>700.34999999999991</v>
      </c>
    </row>
    <row r="323" spans="1:5" ht="15" customHeight="1" outlineLevel="1" x14ac:dyDescent="0.25">
      <c r="A323" s="11" t="s">
        <v>543</v>
      </c>
      <c r="B323" s="35">
        <f t="shared" si="15"/>
        <v>538.78650000000005</v>
      </c>
      <c r="C323" s="35">
        <f>529*(100-C$2)/100</f>
        <v>555.45000000000005</v>
      </c>
      <c r="D323" s="35">
        <f t="shared" si="16"/>
        <v>610.99500000000012</v>
      </c>
      <c r="E323" s="35">
        <f t="shared" si="17"/>
        <v>638.76750000000004</v>
      </c>
    </row>
    <row r="324" spans="1:5" ht="15" customHeight="1" outlineLevel="1" x14ac:dyDescent="0.25">
      <c r="A324" s="11" t="s">
        <v>907</v>
      </c>
      <c r="B324" s="35">
        <f t="shared" si="15"/>
        <v>556.10099999999989</v>
      </c>
      <c r="C324" s="35">
        <f>546*(100-C$2)/100</f>
        <v>573.29999999999995</v>
      </c>
      <c r="D324" s="35">
        <f t="shared" si="16"/>
        <v>630.63</v>
      </c>
      <c r="E324" s="35">
        <f t="shared" si="17"/>
        <v>659.29499999999985</v>
      </c>
    </row>
    <row r="325" spans="1:5" ht="15" customHeight="1" outlineLevel="1" x14ac:dyDescent="0.25">
      <c r="A325" s="11" t="s">
        <v>908</v>
      </c>
      <c r="B325" s="35">
        <f t="shared" si="15"/>
        <v>557.11950000000002</v>
      </c>
      <c r="C325" s="35">
        <f>547*(100-C$2)/100</f>
        <v>574.35</v>
      </c>
      <c r="D325" s="35">
        <f t="shared" si="16"/>
        <v>631.78500000000008</v>
      </c>
      <c r="E325" s="35">
        <f t="shared" si="17"/>
        <v>660.50249999999994</v>
      </c>
    </row>
    <row r="326" spans="1:5" ht="15" customHeight="1" outlineLevel="1" x14ac:dyDescent="0.25">
      <c r="A326" s="11" t="s">
        <v>544</v>
      </c>
      <c r="B326" s="35">
        <f t="shared" si="15"/>
        <v>583.60050000000001</v>
      </c>
      <c r="C326" s="35">
        <f>573*(100-C$2)/100</f>
        <v>601.65</v>
      </c>
      <c r="D326" s="35">
        <f t="shared" si="16"/>
        <v>661.81500000000005</v>
      </c>
      <c r="E326" s="35">
        <f t="shared" si="17"/>
        <v>691.89749999999992</v>
      </c>
    </row>
    <row r="327" spans="1:5" ht="15" customHeight="1" outlineLevel="1" x14ac:dyDescent="0.25">
      <c r="A327" s="11" t="s">
        <v>545</v>
      </c>
      <c r="B327" s="35">
        <f t="shared" si="15"/>
        <v>604.98900000000003</v>
      </c>
      <c r="C327" s="35">
        <f>594*(100-C$2)/100</f>
        <v>623.70000000000005</v>
      </c>
      <c r="D327" s="35">
        <f t="shared" si="16"/>
        <v>686.07</v>
      </c>
      <c r="E327" s="35">
        <f t="shared" si="17"/>
        <v>717.255</v>
      </c>
    </row>
    <row r="328" spans="1:5" ht="15" customHeight="1" outlineLevel="1" x14ac:dyDescent="0.25">
      <c r="A328" s="11" t="s">
        <v>546</v>
      </c>
      <c r="B328" s="35">
        <f t="shared" si="15"/>
        <v>666.09900000000005</v>
      </c>
      <c r="C328" s="35">
        <f>654*(100-C$2)/100</f>
        <v>686.7</v>
      </c>
      <c r="D328" s="35">
        <f t="shared" si="16"/>
        <v>755.37000000000012</v>
      </c>
      <c r="E328" s="35">
        <f t="shared" si="17"/>
        <v>789.70500000000004</v>
      </c>
    </row>
    <row r="329" spans="1:5" ht="15" customHeight="1" outlineLevel="1" x14ac:dyDescent="0.25">
      <c r="A329" s="11" t="s">
        <v>547</v>
      </c>
      <c r="B329" s="35">
        <f t="shared" si="15"/>
        <v>745.54200000000003</v>
      </c>
      <c r="C329" s="35">
        <f>732*(100-C$2)/100</f>
        <v>768.6</v>
      </c>
      <c r="D329" s="35">
        <f t="shared" si="16"/>
        <v>845.46000000000015</v>
      </c>
      <c r="E329" s="35">
        <f t="shared" si="17"/>
        <v>883.89</v>
      </c>
    </row>
    <row r="330" spans="1:5" ht="15" customHeight="1" outlineLevel="1" x14ac:dyDescent="0.25">
      <c r="A330" s="11" t="s">
        <v>548</v>
      </c>
      <c r="B330" s="35">
        <f t="shared" si="15"/>
        <v>564.24900000000002</v>
      </c>
      <c r="C330" s="35">
        <f>554*(100-C$2)/100</f>
        <v>581.70000000000005</v>
      </c>
      <c r="D330" s="35">
        <f t="shared" si="16"/>
        <v>639.87000000000012</v>
      </c>
      <c r="E330" s="35">
        <f t="shared" si="17"/>
        <v>668.95500000000004</v>
      </c>
    </row>
    <row r="331" spans="1:5" ht="15" customHeight="1" outlineLevel="1" x14ac:dyDescent="0.25">
      <c r="A331" s="11" t="s">
        <v>909</v>
      </c>
      <c r="B331" s="35">
        <f t="shared" si="15"/>
        <v>575.45249999999999</v>
      </c>
      <c r="C331" s="35">
        <f>565*(100-C$2)/100</f>
        <v>593.25</v>
      </c>
      <c r="D331" s="35">
        <f t="shared" si="16"/>
        <v>652.57500000000005</v>
      </c>
      <c r="E331" s="35">
        <f t="shared" si="17"/>
        <v>682.23749999999995</v>
      </c>
    </row>
    <row r="332" spans="1:5" ht="15" customHeight="1" outlineLevel="1" x14ac:dyDescent="0.25">
      <c r="A332" s="11" t="s">
        <v>910</v>
      </c>
      <c r="B332" s="35">
        <f t="shared" si="15"/>
        <v>578.50799999999992</v>
      </c>
      <c r="C332" s="35">
        <f>568*(100-C$2)/100</f>
        <v>596.4</v>
      </c>
      <c r="D332" s="35">
        <f t="shared" si="16"/>
        <v>656.04000000000008</v>
      </c>
      <c r="E332" s="35">
        <f t="shared" si="17"/>
        <v>685.8599999999999</v>
      </c>
    </row>
    <row r="333" spans="1:5" ht="15" customHeight="1" outlineLevel="1" x14ac:dyDescent="0.25">
      <c r="A333" s="11" t="s">
        <v>549</v>
      </c>
      <c r="B333" s="35">
        <f t="shared" si="15"/>
        <v>601.93349999999998</v>
      </c>
      <c r="C333" s="35">
        <f>591*(100-C$2)/100</f>
        <v>620.54999999999995</v>
      </c>
      <c r="D333" s="35">
        <f t="shared" si="16"/>
        <v>682.60500000000002</v>
      </c>
      <c r="E333" s="35">
        <f t="shared" si="17"/>
        <v>713.63249999999994</v>
      </c>
    </row>
    <row r="334" spans="1:5" ht="15" customHeight="1" outlineLevel="1" x14ac:dyDescent="0.25">
      <c r="A334" s="11" t="s">
        <v>550</v>
      </c>
      <c r="B334" s="35">
        <f t="shared" si="15"/>
        <v>629.43299999999999</v>
      </c>
      <c r="C334" s="35">
        <f>618*(100-C$2)/100</f>
        <v>648.9</v>
      </c>
      <c r="D334" s="35">
        <f t="shared" si="16"/>
        <v>713.79000000000008</v>
      </c>
      <c r="E334" s="35">
        <f t="shared" si="17"/>
        <v>746.2349999999999</v>
      </c>
    </row>
    <row r="335" spans="1:5" ht="15" customHeight="1" outlineLevel="1" x14ac:dyDescent="0.25">
      <c r="A335" s="11" t="s">
        <v>551</v>
      </c>
      <c r="B335" s="35">
        <f t="shared" si="15"/>
        <v>704.80200000000002</v>
      </c>
      <c r="C335" s="35">
        <f>692*(100-C$2)/100</f>
        <v>726.6</v>
      </c>
      <c r="D335" s="35">
        <f t="shared" si="16"/>
        <v>799.2600000000001</v>
      </c>
      <c r="E335" s="35">
        <f t="shared" si="17"/>
        <v>835.58999999999992</v>
      </c>
    </row>
    <row r="336" spans="1:5" ht="15" customHeight="1" outlineLevel="1" x14ac:dyDescent="0.25">
      <c r="A336" s="11" t="s">
        <v>552</v>
      </c>
      <c r="B336" s="35">
        <f t="shared" si="15"/>
        <v>772.02299999999991</v>
      </c>
      <c r="C336" s="35">
        <f>758*(100-C$2)/100</f>
        <v>795.9</v>
      </c>
      <c r="D336" s="35">
        <f t="shared" si="16"/>
        <v>875.49</v>
      </c>
      <c r="E336" s="35">
        <f t="shared" si="17"/>
        <v>915.28499999999985</v>
      </c>
    </row>
    <row r="337" spans="1:5" ht="20.100000000000001" customHeight="1" outlineLevel="1" x14ac:dyDescent="0.25">
      <c r="A337" s="167" t="s">
        <v>955</v>
      </c>
      <c r="B337" s="168"/>
      <c r="C337" s="168"/>
      <c r="D337" s="168"/>
      <c r="E337" s="169"/>
    </row>
    <row r="338" spans="1:5" ht="15" customHeight="1" outlineLevel="1" x14ac:dyDescent="0.25">
      <c r="A338" s="11" t="s">
        <v>553</v>
      </c>
      <c r="B338" s="35">
        <f t="shared" si="15"/>
        <v>83.516999999999996</v>
      </c>
      <c r="C338" s="35">
        <f>82*(100-C$2)/100</f>
        <v>86.1</v>
      </c>
      <c r="D338" s="35">
        <f t="shared" si="16"/>
        <v>94.710000000000008</v>
      </c>
      <c r="E338" s="35">
        <f t="shared" si="17"/>
        <v>99.014999999999986</v>
      </c>
    </row>
    <row r="339" spans="1:5" ht="15" customHeight="1" outlineLevel="1" x14ac:dyDescent="0.25">
      <c r="A339" s="11" t="s">
        <v>911</v>
      </c>
      <c r="B339" s="35">
        <f t="shared" si="15"/>
        <v>84.535499999999999</v>
      </c>
      <c r="C339" s="35">
        <f>83*(100-C$2)/100</f>
        <v>87.15</v>
      </c>
      <c r="D339" s="35">
        <f t="shared" si="16"/>
        <v>95.865000000000009</v>
      </c>
      <c r="E339" s="35">
        <f t="shared" si="17"/>
        <v>100.2225</v>
      </c>
    </row>
    <row r="340" spans="1:5" ht="15" customHeight="1" outlineLevel="1" x14ac:dyDescent="0.25">
      <c r="A340" s="11" t="s">
        <v>554</v>
      </c>
      <c r="B340" s="35">
        <f t="shared" si="15"/>
        <v>87.590999999999994</v>
      </c>
      <c r="C340" s="35">
        <f>86*(100-C$2)/100</f>
        <v>90.3</v>
      </c>
      <c r="D340" s="35">
        <f t="shared" si="16"/>
        <v>99.33</v>
      </c>
      <c r="E340" s="35">
        <f t="shared" si="17"/>
        <v>103.84499999999998</v>
      </c>
    </row>
    <row r="341" spans="1:5" ht="15" customHeight="1" outlineLevel="1" x14ac:dyDescent="0.25">
      <c r="A341" s="11" t="s">
        <v>555</v>
      </c>
      <c r="B341" s="35">
        <f t="shared" si="15"/>
        <v>96.757499999999993</v>
      </c>
      <c r="C341" s="35">
        <f>95*(100-C$2)/100</f>
        <v>99.75</v>
      </c>
      <c r="D341" s="35">
        <f t="shared" si="16"/>
        <v>109.72500000000001</v>
      </c>
      <c r="E341" s="35">
        <f t="shared" si="17"/>
        <v>114.71249999999999</v>
      </c>
    </row>
    <row r="342" spans="1:5" ht="15" customHeight="1" outlineLevel="1" x14ac:dyDescent="0.25">
      <c r="A342" s="11" t="s">
        <v>556</v>
      </c>
      <c r="B342" s="35">
        <f t="shared" si="15"/>
        <v>100.83150000000001</v>
      </c>
      <c r="C342" s="35">
        <f>99*(100-C$2)/100</f>
        <v>103.95</v>
      </c>
      <c r="D342" s="35">
        <f t="shared" si="16"/>
        <v>114.34500000000001</v>
      </c>
      <c r="E342" s="35">
        <f t="shared" si="17"/>
        <v>119.54249999999999</v>
      </c>
    </row>
    <row r="343" spans="1:5" ht="15" customHeight="1" outlineLevel="1" x14ac:dyDescent="0.25">
      <c r="A343" s="11" t="s">
        <v>557</v>
      </c>
      <c r="B343" s="35">
        <f t="shared" si="15"/>
        <v>117.1275</v>
      </c>
      <c r="C343" s="35">
        <f>115*(100-C$2)/100</f>
        <v>120.75</v>
      </c>
      <c r="D343" s="35">
        <f t="shared" si="16"/>
        <v>132.82500000000002</v>
      </c>
      <c r="E343" s="35">
        <f t="shared" si="17"/>
        <v>138.86249999999998</v>
      </c>
    </row>
    <row r="344" spans="1:5" ht="15" customHeight="1" outlineLevel="1" x14ac:dyDescent="0.25">
      <c r="A344" s="11" t="s">
        <v>558</v>
      </c>
      <c r="B344" s="35">
        <f t="shared" si="15"/>
        <v>122.22</v>
      </c>
      <c r="C344" s="35">
        <f>120*(100-C$2)/100</f>
        <v>126</v>
      </c>
      <c r="D344" s="35">
        <f t="shared" si="16"/>
        <v>138.60000000000002</v>
      </c>
      <c r="E344" s="35">
        <f t="shared" si="17"/>
        <v>144.89999999999998</v>
      </c>
    </row>
    <row r="345" spans="1:5" ht="15" customHeight="1" outlineLevel="1" x14ac:dyDescent="0.25">
      <c r="A345" s="11" t="s">
        <v>559</v>
      </c>
      <c r="B345" s="35">
        <f t="shared" si="15"/>
        <v>132.405</v>
      </c>
      <c r="C345" s="35">
        <f>130*(100-C$2)/100</f>
        <v>136.5</v>
      </c>
      <c r="D345" s="35">
        <f t="shared" si="16"/>
        <v>150.15</v>
      </c>
      <c r="E345" s="35">
        <f t="shared" si="17"/>
        <v>156.97499999999999</v>
      </c>
    </row>
    <row r="346" spans="1:5" ht="15" customHeight="1" outlineLevel="1" x14ac:dyDescent="0.25">
      <c r="A346" s="11" t="s">
        <v>560</v>
      </c>
      <c r="B346" s="35">
        <f t="shared" si="15"/>
        <v>147.6825</v>
      </c>
      <c r="C346" s="35">
        <f>145*(100-C$2)/100</f>
        <v>152.25</v>
      </c>
      <c r="D346" s="35">
        <f t="shared" si="16"/>
        <v>167.47500000000002</v>
      </c>
      <c r="E346" s="35">
        <f t="shared" si="17"/>
        <v>175.08749999999998</v>
      </c>
    </row>
    <row r="347" spans="1:5" ht="20.100000000000001" customHeight="1" outlineLevel="1" x14ac:dyDescent="0.25">
      <c r="A347" s="167" t="s">
        <v>82</v>
      </c>
      <c r="B347" s="168"/>
      <c r="C347" s="168"/>
      <c r="D347" s="168"/>
      <c r="E347" s="169"/>
    </row>
    <row r="348" spans="1:5" ht="15" customHeight="1" outlineLevel="1" x14ac:dyDescent="0.25">
      <c r="A348" s="11" t="s">
        <v>912</v>
      </c>
      <c r="B348" s="35">
        <f t="shared" si="15"/>
        <v>461.38049999999998</v>
      </c>
      <c r="C348" s="35">
        <f>453*(100-C$2)/100</f>
        <v>475.65</v>
      </c>
      <c r="D348" s="35">
        <f t="shared" si="16"/>
        <v>523.21500000000003</v>
      </c>
      <c r="E348" s="35">
        <f t="shared" si="17"/>
        <v>546.99749999999995</v>
      </c>
    </row>
    <row r="349" spans="1:5" ht="15" customHeight="1" outlineLevel="1" x14ac:dyDescent="0.25">
      <c r="A349" s="11" t="s">
        <v>561</v>
      </c>
      <c r="B349" s="35">
        <f t="shared" si="15"/>
        <v>468.51</v>
      </c>
      <c r="C349" s="35">
        <f>460*(100-C$2)/100</f>
        <v>483</v>
      </c>
      <c r="D349" s="35">
        <f t="shared" si="16"/>
        <v>531.30000000000007</v>
      </c>
      <c r="E349" s="35">
        <f t="shared" si="17"/>
        <v>555.44999999999993</v>
      </c>
    </row>
    <row r="350" spans="1:5" ht="15" customHeight="1" outlineLevel="1" x14ac:dyDescent="0.25">
      <c r="A350" s="11" t="s">
        <v>913</v>
      </c>
      <c r="B350" s="35">
        <f t="shared" si="15"/>
        <v>474.62099999999998</v>
      </c>
      <c r="C350" s="35">
        <f>466*(100-C$2)/100</f>
        <v>489.3</v>
      </c>
      <c r="D350" s="35">
        <f t="shared" si="16"/>
        <v>538.23</v>
      </c>
      <c r="E350" s="35">
        <f t="shared" si="17"/>
        <v>562.69499999999994</v>
      </c>
    </row>
    <row r="351" spans="1:5" ht="15" customHeight="1" outlineLevel="1" x14ac:dyDescent="0.25">
      <c r="A351" s="11" t="s">
        <v>914</v>
      </c>
      <c r="B351" s="35">
        <f t="shared" si="15"/>
        <v>467.49149999999997</v>
      </c>
      <c r="C351" s="35">
        <f>459*(100-C$2)/100</f>
        <v>481.95</v>
      </c>
      <c r="D351" s="35">
        <f t="shared" si="16"/>
        <v>530.14499999999998</v>
      </c>
      <c r="E351" s="35">
        <f t="shared" si="17"/>
        <v>554.24249999999995</v>
      </c>
    </row>
    <row r="352" spans="1:5" ht="15" customHeight="1" outlineLevel="1" x14ac:dyDescent="0.25">
      <c r="A352" s="11" t="s">
        <v>562</v>
      </c>
      <c r="B352" s="35">
        <f t="shared" si="15"/>
        <v>484.80599999999998</v>
      </c>
      <c r="C352" s="35">
        <f>476*(100-C$2)/100</f>
        <v>499.8</v>
      </c>
      <c r="D352" s="35">
        <f t="shared" si="16"/>
        <v>549.78000000000009</v>
      </c>
      <c r="E352" s="35">
        <f t="shared" si="17"/>
        <v>574.77</v>
      </c>
    </row>
    <row r="353" spans="1:5" ht="15" customHeight="1" outlineLevel="1" x14ac:dyDescent="0.25">
      <c r="A353" s="11" t="s">
        <v>915</v>
      </c>
      <c r="B353" s="35">
        <f t="shared" si="15"/>
        <v>493.97249999999997</v>
      </c>
      <c r="C353" s="35">
        <f>485*(100-C$2)/100</f>
        <v>509.25</v>
      </c>
      <c r="D353" s="35">
        <f t="shared" si="16"/>
        <v>560.17500000000007</v>
      </c>
      <c r="E353" s="35">
        <f t="shared" si="17"/>
        <v>585.63749999999993</v>
      </c>
    </row>
    <row r="354" spans="1:5" ht="15" customHeight="1" outlineLevel="1" x14ac:dyDescent="0.25">
      <c r="A354" s="11" t="s">
        <v>916</v>
      </c>
      <c r="B354" s="35">
        <f t="shared" si="15"/>
        <v>494.99099999999999</v>
      </c>
      <c r="C354" s="35">
        <f>486*(100-C$2)/100</f>
        <v>510.3</v>
      </c>
      <c r="D354" s="35">
        <f t="shared" si="16"/>
        <v>561.33000000000004</v>
      </c>
      <c r="E354" s="35">
        <f t="shared" si="17"/>
        <v>586.84499999999991</v>
      </c>
    </row>
    <row r="355" spans="1:5" ht="15" customHeight="1" outlineLevel="1" x14ac:dyDescent="0.25">
      <c r="A355" s="11" t="s">
        <v>563</v>
      </c>
      <c r="B355" s="35">
        <f t="shared" si="15"/>
        <v>507.21299999999997</v>
      </c>
      <c r="C355" s="35">
        <f>498*(100-C$2)/100</f>
        <v>522.9</v>
      </c>
      <c r="D355" s="35">
        <f t="shared" si="16"/>
        <v>575.19000000000005</v>
      </c>
      <c r="E355" s="35">
        <f t="shared" si="17"/>
        <v>601.33499999999992</v>
      </c>
    </row>
    <row r="356" spans="1:5" ht="15" customHeight="1" outlineLevel="1" x14ac:dyDescent="0.25">
      <c r="A356" s="11" t="s">
        <v>564</v>
      </c>
      <c r="B356" s="35">
        <f t="shared" si="15"/>
        <v>527.58299999999997</v>
      </c>
      <c r="C356" s="35">
        <f>518*(100-C$2)/100</f>
        <v>543.9</v>
      </c>
      <c r="D356" s="35">
        <f t="shared" si="16"/>
        <v>598.29000000000008</v>
      </c>
      <c r="E356" s="35">
        <f t="shared" si="17"/>
        <v>625.4849999999999</v>
      </c>
    </row>
    <row r="357" spans="1:5" ht="15" customHeight="1" outlineLevel="1" x14ac:dyDescent="0.25">
      <c r="A357" s="11" t="s">
        <v>565</v>
      </c>
      <c r="B357" s="35">
        <f t="shared" si="15"/>
        <v>504.15749999999997</v>
      </c>
      <c r="C357" s="35">
        <f>495*(100-C$2)/100</f>
        <v>519.75</v>
      </c>
      <c r="D357" s="35">
        <f t="shared" si="16"/>
        <v>571.72500000000002</v>
      </c>
      <c r="E357" s="35">
        <f t="shared" si="17"/>
        <v>597.71249999999998</v>
      </c>
    </row>
    <row r="358" spans="1:5" ht="15" customHeight="1" outlineLevel="1" x14ac:dyDescent="0.25">
      <c r="A358" s="11" t="s">
        <v>566</v>
      </c>
      <c r="B358" s="35">
        <f t="shared" si="15"/>
        <v>528.60149999999999</v>
      </c>
      <c r="C358" s="35">
        <f>519*(100-C$2)/100</f>
        <v>544.95000000000005</v>
      </c>
      <c r="D358" s="35">
        <f t="shared" si="16"/>
        <v>599.44500000000005</v>
      </c>
      <c r="E358" s="35">
        <f t="shared" si="17"/>
        <v>626.6925</v>
      </c>
    </row>
    <row r="359" spans="1:5" ht="15" customHeight="1" outlineLevel="1" x14ac:dyDescent="0.25">
      <c r="A359" s="11" t="s">
        <v>567</v>
      </c>
      <c r="B359" s="35">
        <f t="shared" si="15"/>
        <v>541.84199999999998</v>
      </c>
      <c r="C359" s="35">
        <f>532*(100-C$2)/100</f>
        <v>558.6</v>
      </c>
      <c r="D359" s="35">
        <f t="shared" si="16"/>
        <v>614.46</v>
      </c>
      <c r="E359" s="35">
        <f t="shared" si="17"/>
        <v>642.39</v>
      </c>
    </row>
    <row r="360" spans="1:5" ht="15" customHeight="1" outlineLevel="1" x14ac:dyDescent="0.25">
      <c r="A360" s="11" t="s">
        <v>568</v>
      </c>
      <c r="B360" s="35">
        <f t="shared" si="15"/>
        <v>602.952</v>
      </c>
      <c r="C360" s="35">
        <f>592*(100-C$2)/100</f>
        <v>621.6</v>
      </c>
      <c r="D360" s="35">
        <f t="shared" si="16"/>
        <v>683.7600000000001</v>
      </c>
      <c r="E360" s="35">
        <f t="shared" si="17"/>
        <v>714.83999999999992</v>
      </c>
    </row>
    <row r="361" spans="1:5" ht="15" customHeight="1" outlineLevel="1" x14ac:dyDescent="0.25">
      <c r="A361" s="11" t="s">
        <v>569</v>
      </c>
      <c r="B361" s="35">
        <f t="shared" si="15"/>
        <v>522.4905</v>
      </c>
      <c r="C361" s="35">
        <f>513*(100-C$2)/100</f>
        <v>538.65</v>
      </c>
      <c r="D361" s="35">
        <f t="shared" si="16"/>
        <v>592.51499999999999</v>
      </c>
      <c r="E361" s="35">
        <f t="shared" si="17"/>
        <v>619.44749999999988</v>
      </c>
    </row>
    <row r="362" spans="1:5" ht="15" customHeight="1" outlineLevel="1" x14ac:dyDescent="0.25">
      <c r="A362" s="11" t="s">
        <v>917</v>
      </c>
      <c r="B362" s="35">
        <f t="shared" si="15"/>
        <v>540.82349999999997</v>
      </c>
      <c r="C362" s="35">
        <f>531*(100-C$2)/100</f>
        <v>557.54999999999995</v>
      </c>
      <c r="D362" s="35">
        <f t="shared" si="16"/>
        <v>613.30499999999995</v>
      </c>
      <c r="E362" s="35">
        <f t="shared" si="17"/>
        <v>641.18249999999989</v>
      </c>
    </row>
    <row r="363" spans="1:5" ht="15" customHeight="1" outlineLevel="1" x14ac:dyDescent="0.25">
      <c r="A363" s="11" t="s">
        <v>918</v>
      </c>
      <c r="B363" s="35">
        <f t="shared" si="15"/>
        <v>542.8605</v>
      </c>
      <c r="C363" s="35">
        <f>533*(100-C$2)/100</f>
        <v>559.65</v>
      </c>
      <c r="D363" s="35">
        <f t="shared" si="16"/>
        <v>615.61500000000001</v>
      </c>
      <c r="E363" s="35">
        <f t="shared" si="17"/>
        <v>643.59749999999997</v>
      </c>
    </row>
    <row r="364" spans="1:5" ht="15" customHeight="1" outlineLevel="1" x14ac:dyDescent="0.25">
      <c r="A364" s="11" t="s">
        <v>570</v>
      </c>
      <c r="B364" s="35">
        <f t="shared" si="15"/>
        <v>551.00849999999991</v>
      </c>
      <c r="C364" s="35">
        <f>541*(100-C$2)/100</f>
        <v>568.04999999999995</v>
      </c>
      <c r="D364" s="35">
        <f t="shared" si="16"/>
        <v>624.85500000000002</v>
      </c>
      <c r="E364" s="35">
        <f t="shared" si="17"/>
        <v>653.25749999999994</v>
      </c>
    </row>
    <row r="365" spans="1:5" ht="15" customHeight="1" outlineLevel="1" x14ac:dyDescent="0.25">
      <c r="A365" s="11" t="s">
        <v>571</v>
      </c>
      <c r="B365" s="35">
        <f t="shared" si="15"/>
        <v>590.73</v>
      </c>
      <c r="C365" s="35">
        <f>580*(100-C$2)/100</f>
        <v>609</v>
      </c>
      <c r="D365" s="35">
        <f t="shared" si="16"/>
        <v>669.90000000000009</v>
      </c>
      <c r="E365" s="35">
        <f t="shared" si="17"/>
        <v>700.34999999999991</v>
      </c>
    </row>
    <row r="366" spans="1:5" ht="15" customHeight="1" outlineLevel="1" x14ac:dyDescent="0.25">
      <c r="A366" s="11" t="s">
        <v>572</v>
      </c>
      <c r="B366" s="35">
        <f t="shared" si="15"/>
        <v>651.84</v>
      </c>
      <c r="C366" s="35">
        <f>640*(100-C$2)/100</f>
        <v>672</v>
      </c>
      <c r="D366" s="35">
        <f t="shared" si="16"/>
        <v>739.2</v>
      </c>
      <c r="E366" s="35">
        <f t="shared" si="17"/>
        <v>772.8</v>
      </c>
    </row>
    <row r="367" spans="1:5" ht="15" customHeight="1" outlineLevel="1" x14ac:dyDescent="0.25">
      <c r="A367" s="11" t="s">
        <v>573</v>
      </c>
      <c r="B367" s="35">
        <f t="shared" si="15"/>
        <v>702.76499999999999</v>
      </c>
      <c r="C367" s="35">
        <f>690*(100-C$2)/100</f>
        <v>724.5</v>
      </c>
      <c r="D367" s="35">
        <f t="shared" si="16"/>
        <v>796.95</v>
      </c>
      <c r="E367" s="35">
        <f t="shared" si="17"/>
        <v>833.17499999999995</v>
      </c>
    </row>
    <row r="368" spans="1:5" ht="15" customHeight="1" outlineLevel="1" x14ac:dyDescent="0.25">
      <c r="A368" s="11" t="s">
        <v>574</v>
      </c>
      <c r="B368" s="35">
        <f t="shared" si="15"/>
        <v>551.00849999999991</v>
      </c>
      <c r="C368" s="35">
        <f>541*(100-C$2)/100</f>
        <v>568.04999999999995</v>
      </c>
      <c r="D368" s="35">
        <f t="shared" si="16"/>
        <v>624.85500000000002</v>
      </c>
      <c r="E368" s="35">
        <f t="shared" si="17"/>
        <v>653.25749999999994</v>
      </c>
    </row>
    <row r="369" spans="1:5" ht="15" customHeight="1" outlineLevel="1" x14ac:dyDescent="0.25">
      <c r="A369" s="11" t="s">
        <v>575</v>
      </c>
      <c r="B369" s="35">
        <f t="shared" si="15"/>
        <v>595.82249999999999</v>
      </c>
      <c r="C369" s="35">
        <f>585*(100-C$2)/100</f>
        <v>614.25</v>
      </c>
      <c r="D369" s="35">
        <f t="shared" si="16"/>
        <v>675.67500000000007</v>
      </c>
      <c r="E369" s="35">
        <f t="shared" si="17"/>
        <v>706.38749999999993</v>
      </c>
    </row>
    <row r="370" spans="1:5" ht="15" customHeight="1" outlineLevel="1" x14ac:dyDescent="0.25">
      <c r="A370" s="11" t="s">
        <v>576</v>
      </c>
      <c r="B370" s="35">
        <f t="shared" si="15"/>
        <v>621.28499999999997</v>
      </c>
      <c r="C370" s="35">
        <f>610*(100-C$2)/100</f>
        <v>640.5</v>
      </c>
      <c r="D370" s="35">
        <f t="shared" si="16"/>
        <v>704.55000000000007</v>
      </c>
      <c r="E370" s="35">
        <f t="shared" si="17"/>
        <v>736.57499999999993</v>
      </c>
    </row>
    <row r="371" spans="1:5" ht="15" customHeight="1" outlineLevel="1" x14ac:dyDescent="0.25">
      <c r="A371" s="11" t="s">
        <v>577</v>
      </c>
      <c r="B371" s="35">
        <f t="shared" si="15"/>
        <v>672.21</v>
      </c>
      <c r="C371" s="35">
        <f>660*(100-C$2)/100</f>
        <v>693</v>
      </c>
      <c r="D371" s="35">
        <f t="shared" si="16"/>
        <v>762.30000000000007</v>
      </c>
      <c r="E371" s="35">
        <f t="shared" si="17"/>
        <v>796.94999999999993</v>
      </c>
    </row>
    <row r="372" spans="1:5" ht="15" customHeight="1" outlineLevel="1" x14ac:dyDescent="0.25">
      <c r="A372" s="11" t="s">
        <v>578</v>
      </c>
      <c r="B372" s="35">
        <f t="shared" si="15"/>
        <v>728.22749999999996</v>
      </c>
      <c r="C372" s="35">
        <f>715*(100-C$2)/100</f>
        <v>750.75</v>
      </c>
      <c r="D372" s="35">
        <f t="shared" si="16"/>
        <v>825.82500000000005</v>
      </c>
      <c r="E372" s="35">
        <f t="shared" si="17"/>
        <v>863.36249999999995</v>
      </c>
    </row>
    <row r="373" spans="1:5" ht="15" customHeight="1" outlineLevel="1" x14ac:dyDescent="0.25">
      <c r="A373" s="11" t="s">
        <v>579</v>
      </c>
      <c r="B373" s="35">
        <f t="shared" si="15"/>
        <v>586.65599999999995</v>
      </c>
      <c r="C373" s="35">
        <f>576*(100-C$2)/100</f>
        <v>604.79999999999995</v>
      </c>
      <c r="D373" s="35">
        <f t="shared" si="16"/>
        <v>665.28</v>
      </c>
      <c r="E373" s="35">
        <f t="shared" si="17"/>
        <v>695.51999999999987</v>
      </c>
    </row>
    <row r="374" spans="1:5" ht="15" customHeight="1" outlineLevel="1" x14ac:dyDescent="0.25">
      <c r="A374" s="11" t="s">
        <v>919</v>
      </c>
      <c r="B374" s="35">
        <f t="shared" si="15"/>
        <v>593.78549999999996</v>
      </c>
      <c r="C374" s="35">
        <f>583*(100-C$2)/100</f>
        <v>612.15</v>
      </c>
      <c r="D374" s="35">
        <f t="shared" si="16"/>
        <v>673.36500000000001</v>
      </c>
      <c r="E374" s="35">
        <f t="shared" si="17"/>
        <v>703.97249999999997</v>
      </c>
    </row>
    <row r="375" spans="1:5" ht="15" customHeight="1" outlineLevel="1" x14ac:dyDescent="0.25">
      <c r="A375" s="11" t="s">
        <v>920</v>
      </c>
      <c r="B375" s="35">
        <f t="shared" si="15"/>
        <v>596.84099999999989</v>
      </c>
      <c r="C375" s="35">
        <f>586*(100-C$2)/100</f>
        <v>615.29999999999995</v>
      </c>
      <c r="D375" s="35">
        <f t="shared" si="16"/>
        <v>676.83</v>
      </c>
      <c r="E375" s="35">
        <f t="shared" si="17"/>
        <v>707.59499999999991</v>
      </c>
    </row>
    <row r="376" spans="1:5" ht="15" customHeight="1" outlineLevel="1" x14ac:dyDescent="0.25">
      <c r="A376" s="11" t="s">
        <v>580</v>
      </c>
      <c r="B376" s="35">
        <f t="shared" si="15"/>
        <v>633.50699999999995</v>
      </c>
      <c r="C376" s="35">
        <f>622*(100-C$2)/100</f>
        <v>653.1</v>
      </c>
      <c r="D376" s="35">
        <f t="shared" si="16"/>
        <v>718.41000000000008</v>
      </c>
      <c r="E376" s="35">
        <f t="shared" si="17"/>
        <v>751.06499999999994</v>
      </c>
    </row>
    <row r="377" spans="1:5" ht="15" customHeight="1" outlineLevel="1" x14ac:dyDescent="0.25">
      <c r="A377" s="11" t="s">
        <v>581</v>
      </c>
      <c r="B377" s="35">
        <f t="shared" si="15"/>
        <v>650.82150000000001</v>
      </c>
      <c r="C377" s="35">
        <f>639*(100-C$2)/100</f>
        <v>670.95</v>
      </c>
      <c r="D377" s="35">
        <f t="shared" si="16"/>
        <v>738.04500000000007</v>
      </c>
      <c r="E377" s="35">
        <f t="shared" si="17"/>
        <v>771.59249999999997</v>
      </c>
    </row>
    <row r="378" spans="1:5" ht="15" customHeight="1" outlineLevel="1" x14ac:dyDescent="0.25">
      <c r="A378" s="11" t="s">
        <v>582</v>
      </c>
      <c r="B378" s="35">
        <f t="shared" si="15"/>
        <v>688.50599999999997</v>
      </c>
      <c r="C378" s="35">
        <f>676*(100-C$2)/100</f>
        <v>709.8</v>
      </c>
      <c r="D378" s="35">
        <f t="shared" si="16"/>
        <v>780.78</v>
      </c>
      <c r="E378" s="35">
        <f t="shared" si="17"/>
        <v>816.26999999999987</v>
      </c>
    </row>
    <row r="379" spans="1:5" ht="15" customHeight="1" outlineLevel="1" x14ac:dyDescent="0.25">
      <c r="A379" s="11" t="s">
        <v>583</v>
      </c>
      <c r="B379" s="35">
        <f t="shared" si="15"/>
        <v>758.78250000000003</v>
      </c>
      <c r="C379" s="35">
        <f>745*(100-C$2)/100</f>
        <v>782.25</v>
      </c>
      <c r="D379" s="35">
        <f t="shared" si="16"/>
        <v>860.47500000000002</v>
      </c>
      <c r="E379" s="35">
        <f t="shared" si="17"/>
        <v>899.58749999999998</v>
      </c>
    </row>
    <row r="380" spans="1:5" ht="15" customHeight="1" outlineLevel="1" x14ac:dyDescent="0.25">
      <c r="A380" s="11" t="s">
        <v>584</v>
      </c>
      <c r="B380" s="35">
        <f t="shared" si="15"/>
        <v>640.63650000000007</v>
      </c>
      <c r="C380" s="35">
        <f>629*(100-C$2)/100</f>
        <v>660.45</v>
      </c>
      <c r="D380" s="35">
        <f t="shared" si="16"/>
        <v>726.49500000000012</v>
      </c>
      <c r="E380" s="35">
        <f t="shared" si="17"/>
        <v>759.51750000000004</v>
      </c>
    </row>
    <row r="381" spans="1:5" ht="15" customHeight="1" outlineLevel="1" x14ac:dyDescent="0.25">
      <c r="A381" s="11" t="s">
        <v>921</v>
      </c>
      <c r="B381" s="35">
        <f t="shared" si="15"/>
        <v>647.76599999999996</v>
      </c>
      <c r="C381" s="35">
        <f>636*(100-C$2)/100</f>
        <v>667.8</v>
      </c>
      <c r="D381" s="35">
        <f t="shared" si="16"/>
        <v>734.58</v>
      </c>
      <c r="E381" s="35">
        <f t="shared" si="17"/>
        <v>767.96999999999991</v>
      </c>
    </row>
    <row r="382" spans="1:5" ht="15" customHeight="1" outlineLevel="1" x14ac:dyDescent="0.25">
      <c r="A382" s="11" t="s">
        <v>922</v>
      </c>
      <c r="B382" s="35">
        <f t="shared" si="15"/>
        <v>648.78449999999998</v>
      </c>
      <c r="C382" s="35">
        <f>637*(100-C$2)/100</f>
        <v>668.85</v>
      </c>
      <c r="D382" s="35">
        <f t="shared" si="16"/>
        <v>735.73500000000013</v>
      </c>
      <c r="E382" s="35">
        <f t="shared" si="17"/>
        <v>769.17750000000001</v>
      </c>
    </row>
    <row r="383" spans="1:5" ht="15" customHeight="1" outlineLevel="1" x14ac:dyDescent="0.25">
      <c r="A383" s="11" t="s">
        <v>585</v>
      </c>
      <c r="B383" s="35">
        <f t="shared" si="15"/>
        <v>662.02499999999998</v>
      </c>
      <c r="C383" s="35">
        <f>650*(100-C$2)/100</f>
        <v>682.5</v>
      </c>
      <c r="D383" s="35">
        <f t="shared" si="16"/>
        <v>750.75000000000011</v>
      </c>
      <c r="E383" s="35">
        <f t="shared" si="17"/>
        <v>784.87499999999989</v>
      </c>
    </row>
    <row r="384" spans="1:5" ht="15" customHeight="1" outlineLevel="1" x14ac:dyDescent="0.25">
      <c r="A384" s="11" t="s">
        <v>586</v>
      </c>
      <c r="B384" s="35">
        <f t="shared" si="15"/>
        <v>772.02299999999991</v>
      </c>
      <c r="C384" s="35">
        <f>758*(100-C$2)/100</f>
        <v>795.9</v>
      </c>
      <c r="D384" s="35">
        <f t="shared" si="16"/>
        <v>875.49</v>
      </c>
      <c r="E384" s="35">
        <f t="shared" si="17"/>
        <v>915.28499999999985</v>
      </c>
    </row>
    <row r="385" spans="1:5" ht="15" customHeight="1" outlineLevel="1" x14ac:dyDescent="0.25">
      <c r="A385" s="11" t="s">
        <v>587</v>
      </c>
      <c r="B385" s="35">
        <f t="shared" ref="B385:B447" si="18">C385*0.97</f>
        <v>830.07749999999999</v>
      </c>
      <c r="C385" s="35">
        <f>815*(100-C$2)/100</f>
        <v>855.75</v>
      </c>
      <c r="D385" s="35">
        <f t="shared" ref="D385:D447" si="19">C385*1.1</f>
        <v>941.32500000000005</v>
      </c>
      <c r="E385" s="35">
        <f t="shared" ref="E385:E447" si="20">C385*1.15</f>
        <v>984.11249999999995</v>
      </c>
    </row>
    <row r="386" spans="1:5" ht="15" customHeight="1" outlineLevel="1" x14ac:dyDescent="0.25">
      <c r="A386" s="11" t="s">
        <v>588</v>
      </c>
      <c r="B386" s="35">
        <f t="shared" si="18"/>
        <v>895.26150000000007</v>
      </c>
      <c r="C386" s="35">
        <f>879*(100-C$2)/100</f>
        <v>922.95</v>
      </c>
      <c r="D386" s="35">
        <f t="shared" si="19"/>
        <v>1015.2450000000001</v>
      </c>
      <c r="E386" s="35">
        <f t="shared" si="20"/>
        <v>1061.3924999999999</v>
      </c>
    </row>
    <row r="387" spans="1:5" ht="15" customHeight="1" outlineLevel="1" x14ac:dyDescent="0.25">
      <c r="A387" s="11" t="s">
        <v>589</v>
      </c>
      <c r="B387" s="35">
        <f t="shared" si="18"/>
        <v>772.02299999999991</v>
      </c>
      <c r="C387" s="35">
        <f>758*(100-C$2)/100</f>
        <v>795.9</v>
      </c>
      <c r="D387" s="35">
        <f t="shared" si="19"/>
        <v>875.49</v>
      </c>
      <c r="E387" s="35">
        <f t="shared" si="20"/>
        <v>915.28499999999985</v>
      </c>
    </row>
    <row r="388" spans="1:5" ht="15" customHeight="1" outlineLevel="1" x14ac:dyDescent="0.25">
      <c r="A388" s="11" t="s">
        <v>923</v>
      </c>
      <c r="B388" s="35">
        <f t="shared" si="18"/>
        <v>829.05899999999997</v>
      </c>
      <c r="C388" s="35">
        <f>814*(100-C$2)/100</f>
        <v>854.7</v>
      </c>
      <c r="D388" s="35">
        <f t="shared" si="19"/>
        <v>940.17000000000007</v>
      </c>
      <c r="E388" s="35">
        <f t="shared" si="20"/>
        <v>982.90499999999997</v>
      </c>
    </row>
    <row r="389" spans="1:5" ht="15" customHeight="1" outlineLevel="1" x14ac:dyDescent="0.25">
      <c r="A389" s="11" t="s">
        <v>924</v>
      </c>
      <c r="B389" s="35">
        <f t="shared" si="18"/>
        <v>832.11450000000002</v>
      </c>
      <c r="C389" s="35">
        <f>817*(100-C$2)/100</f>
        <v>857.85</v>
      </c>
      <c r="D389" s="35">
        <f t="shared" si="19"/>
        <v>943.6350000000001</v>
      </c>
      <c r="E389" s="35">
        <f t="shared" si="20"/>
        <v>986.52749999999992</v>
      </c>
    </row>
    <row r="390" spans="1:5" ht="15" customHeight="1" outlineLevel="1" x14ac:dyDescent="0.25">
      <c r="A390" s="11" t="s">
        <v>590</v>
      </c>
      <c r="B390" s="35">
        <f t="shared" si="18"/>
        <v>860.63249999999994</v>
      </c>
      <c r="C390" s="35">
        <f>845*(100-C$2)/100</f>
        <v>887.25</v>
      </c>
      <c r="D390" s="35">
        <f t="shared" si="19"/>
        <v>975.97500000000002</v>
      </c>
      <c r="E390" s="35">
        <f t="shared" si="20"/>
        <v>1020.3375</v>
      </c>
    </row>
    <row r="391" spans="1:5" ht="15" customHeight="1" outlineLevel="1" x14ac:dyDescent="0.25">
      <c r="A391" s="11" t="s">
        <v>591</v>
      </c>
      <c r="B391" s="35">
        <f t="shared" si="18"/>
        <v>892.2059999999999</v>
      </c>
      <c r="C391" s="35">
        <f>876*(100-C$2)/100</f>
        <v>919.8</v>
      </c>
      <c r="D391" s="35">
        <f t="shared" si="19"/>
        <v>1011.7800000000001</v>
      </c>
      <c r="E391" s="35">
        <f t="shared" si="20"/>
        <v>1057.7699999999998</v>
      </c>
    </row>
    <row r="392" spans="1:5" ht="15" customHeight="1" outlineLevel="1" x14ac:dyDescent="0.25">
      <c r="A392" s="11" t="s">
        <v>592</v>
      </c>
      <c r="B392" s="35">
        <f t="shared" si="18"/>
        <v>969.61199999999997</v>
      </c>
      <c r="C392" s="35">
        <f>952*(100-C$2)/100</f>
        <v>999.6</v>
      </c>
      <c r="D392" s="35">
        <f t="shared" si="19"/>
        <v>1099.5600000000002</v>
      </c>
      <c r="E392" s="35">
        <f t="shared" si="20"/>
        <v>1149.54</v>
      </c>
    </row>
    <row r="393" spans="1:5" ht="15" customHeight="1" outlineLevel="1" x14ac:dyDescent="0.25">
      <c r="A393" s="11" t="s">
        <v>593</v>
      </c>
      <c r="B393" s="35">
        <f t="shared" si="18"/>
        <v>1071.462</v>
      </c>
      <c r="C393" s="35">
        <f>1052*(100-C$2)/100</f>
        <v>1104.5999999999999</v>
      </c>
      <c r="D393" s="35">
        <f t="shared" si="19"/>
        <v>1215.06</v>
      </c>
      <c r="E393" s="35">
        <f t="shared" si="20"/>
        <v>1270.2899999999997</v>
      </c>
    </row>
    <row r="394" spans="1:5" ht="20.100000000000001" customHeight="1" outlineLevel="1" x14ac:dyDescent="0.25">
      <c r="A394" s="167" t="s">
        <v>956</v>
      </c>
      <c r="B394" s="168"/>
      <c r="C394" s="168"/>
      <c r="D394" s="168"/>
      <c r="E394" s="169"/>
    </row>
    <row r="395" spans="1:5" ht="15" customHeight="1" outlineLevel="1" x14ac:dyDescent="0.25">
      <c r="A395" s="11" t="s">
        <v>594</v>
      </c>
      <c r="B395" s="35">
        <f t="shared" si="18"/>
        <v>108.97949999999999</v>
      </c>
      <c r="C395" s="35">
        <f>107*(100-C$2)/100</f>
        <v>112.35</v>
      </c>
      <c r="D395" s="35">
        <f t="shared" si="19"/>
        <v>123.58500000000001</v>
      </c>
      <c r="E395" s="35">
        <f t="shared" si="20"/>
        <v>129.20249999999999</v>
      </c>
    </row>
    <row r="396" spans="1:5" ht="15" customHeight="1" outlineLevel="1" x14ac:dyDescent="0.25">
      <c r="A396" s="11" t="s">
        <v>925</v>
      </c>
      <c r="B396" s="35">
        <f t="shared" si="18"/>
        <v>109.998</v>
      </c>
      <c r="C396" s="35">
        <f>108*(100-C$2)/100</f>
        <v>113.4</v>
      </c>
      <c r="D396" s="35">
        <f t="shared" si="19"/>
        <v>124.74000000000002</v>
      </c>
      <c r="E396" s="35">
        <f t="shared" si="20"/>
        <v>130.41</v>
      </c>
    </row>
    <row r="397" spans="1:5" ht="15" customHeight="1" outlineLevel="1" x14ac:dyDescent="0.25">
      <c r="A397" s="11" t="s">
        <v>595</v>
      </c>
      <c r="B397" s="35">
        <f t="shared" si="18"/>
        <v>117.1275</v>
      </c>
      <c r="C397" s="35">
        <f>115*(100-C$2)/100</f>
        <v>120.75</v>
      </c>
      <c r="D397" s="35">
        <f t="shared" si="19"/>
        <v>132.82500000000002</v>
      </c>
      <c r="E397" s="35">
        <f t="shared" si="20"/>
        <v>138.86249999999998</v>
      </c>
    </row>
    <row r="398" spans="1:5" ht="15" customHeight="1" outlineLevel="1" x14ac:dyDescent="0.25">
      <c r="A398" s="11" t="s">
        <v>596</v>
      </c>
      <c r="B398" s="35">
        <f t="shared" si="18"/>
        <v>131.38649999999998</v>
      </c>
      <c r="C398" s="35">
        <f>129*(100-C$2)/100</f>
        <v>135.44999999999999</v>
      </c>
      <c r="D398" s="35">
        <f t="shared" si="19"/>
        <v>148.995</v>
      </c>
      <c r="E398" s="35">
        <f t="shared" si="20"/>
        <v>155.76749999999998</v>
      </c>
    </row>
    <row r="399" spans="1:5" ht="15" customHeight="1" outlineLevel="1" x14ac:dyDescent="0.25">
      <c r="A399" s="11" t="s">
        <v>597</v>
      </c>
      <c r="B399" s="35">
        <f t="shared" si="18"/>
        <v>146.66399999999999</v>
      </c>
      <c r="C399" s="35">
        <f>144*(100-C$2)/100</f>
        <v>151.19999999999999</v>
      </c>
      <c r="D399" s="35">
        <f t="shared" si="19"/>
        <v>166.32</v>
      </c>
      <c r="E399" s="35">
        <f t="shared" si="20"/>
        <v>173.87999999999997</v>
      </c>
    </row>
    <row r="400" spans="1:5" ht="15" customHeight="1" outlineLevel="1" x14ac:dyDescent="0.25">
      <c r="A400" s="11" t="s">
        <v>598</v>
      </c>
      <c r="B400" s="35">
        <f t="shared" si="18"/>
        <v>171.108</v>
      </c>
      <c r="C400" s="35">
        <f>168*(100-C$2)/100</f>
        <v>176.4</v>
      </c>
      <c r="D400" s="35">
        <f t="shared" si="19"/>
        <v>194.04000000000002</v>
      </c>
      <c r="E400" s="35">
        <f t="shared" si="20"/>
        <v>202.85999999999999</v>
      </c>
    </row>
    <row r="401" spans="1:5" ht="15" customHeight="1" outlineLevel="1" x14ac:dyDescent="0.25">
      <c r="A401" s="11" t="s">
        <v>599</v>
      </c>
      <c r="B401" s="35">
        <f t="shared" si="18"/>
        <v>182.3115</v>
      </c>
      <c r="C401" s="35">
        <f>179*(100-C$2)/100</f>
        <v>187.95</v>
      </c>
      <c r="D401" s="35">
        <f t="shared" si="19"/>
        <v>206.745</v>
      </c>
      <c r="E401" s="35">
        <f t="shared" si="20"/>
        <v>216.14249999999998</v>
      </c>
    </row>
    <row r="402" spans="1:5" ht="15" customHeight="1" outlineLevel="1" x14ac:dyDescent="0.25">
      <c r="A402" s="11" t="s">
        <v>600</v>
      </c>
      <c r="B402" s="35">
        <f t="shared" si="18"/>
        <v>241.38449999999997</v>
      </c>
      <c r="C402" s="35">
        <f>237*(100-C$2)/100</f>
        <v>248.85</v>
      </c>
      <c r="D402" s="35">
        <f t="shared" si="19"/>
        <v>273.73500000000001</v>
      </c>
      <c r="E402" s="35">
        <f t="shared" si="20"/>
        <v>286.17749999999995</v>
      </c>
    </row>
    <row r="403" spans="1:5" ht="15" customHeight="1" outlineLevel="1" x14ac:dyDescent="0.25">
      <c r="A403" s="11" t="s">
        <v>601</v>
      </c>
      <c r="B403" s="35">
        <f t="shared" si="18"/>
        <v>293.32799999999997</v>
      </c>
      <c r="C403" s="35">
        <f>288*(100-C$2)/100</f>
        <v>302.39999999999998</v>
      </c>
      <c r="D403" s="35">
        <f t="shared" si="19"/>
        <v>332.64</v>
      </c>
      <c r="E403" s="35">
        <f t="shared" si="20"/>
        <v>347.75999999999993</v>
      </c>
    </row>
    <row r="404" spans="1:5" ht="20.100000000000001" customHeight="1" outlineLevel="1" x14ac:dyDescent="0.25">
      <c r="A404" s="167" t="s">
        <v>83</v>
      </c>
      <c r="B404" s="168"/>
      <c r="C404" s="168"/>
      <c r="D404" s="168"/>
      <c r="E404" s="169"/>
    </row>
    <row r="405" spans="1:5" ht="15" customHeight="1" outlineLevel="1" x14ac:dyDescent="0.25">
      <c r="A405" s="11" t="s">
        <v>926</v>
      </c>
      <c r="B405" s="35">
        <f t="shared" si="18"/>
        <v>484.44952499999999</v>
      </c>
      <c r="C405" s="35">
        <f>453*(100-C$2)/100*1.05</f>
        <v>499.4325</v>
      </c>
      <c r="D405" s="35">
        <f t="shared" si="19"/>
        <v>549.37575000000004</v>
      </c>
      <c r="E405" s="35">
        <f t="shared" si="20"/>
        <v>574.34737499999994</v>
      </c>
    </row>
    <row r="406" spans="1:5" ht="15" customHeight="1" outlineLevel="1" x14ac:dyDescent="0.25">
      <c r="A406" s="11" t="s">
        <v>927</v>
      </c>
      <c r="B406" s="35">
        <f t="shared" si="18"/>
        <v>491.93550000000005</v>
      </c>
      <c r="C406" s="35">
        <f>460*(100-C$2)/100*1.05</f>
        <v>507.15000000000003</v>
      </c>
      <c r="D406" s="35">
        <f t="shared" si="19"/>
        <v>557.86500000000012</v>
      </c>
      <c r="E406" s="35">
        <f t="shared" si="20"/>
        <v>583.22249999999997</v>
      </c>
    </row>
    <row r="407" spans="1:5" ht="15" customHeight="1" outlineLevel="1" x14ac:dyDescent="0.25">
      <c r="A407" s="11" t="s">
        <v>928</v>
      </c>
      <c r="B407" s="35">
        <f t="shared" si="18"/>
        <v>498.35204999999996</v>
      </c>
      <c r="C407" s="35">
        <f>466*(100-C$2)/100*1.05</f>
        <v>513.76499999999999</v>
      </c>
      <c r="D407" s="35">
        <f t="shared" si="19"/>
        <v>565.14150000000006</v>
      </c>
      <c r="E407" s="35">
        <f t="shared" si="20"/>
        <v>590.82974999999999</v>
      </c>
    </row>
    <row r="408" spans="1:5" ht="15" customHeight="1" outlineLevel="1" x14ac:dyDescent="0.25">
      <c r="A408" s="11" t="s">
        <v>602</v>
      </c>
      <c r="B408" s="35">
        <f t="shared" si="18"/>
        <v>490.86607500000002</v>
      </c>
      <c r="C408" s="35">
        <f>459*(100-C$2)/100*1.05</f>
        <v>506.04750000000001</v>
      </c>
      <c r="D408" s="35">
        <f t="shared" si="19"/>
        <v>556.65225000000009</v>
      </c>
      <c r="E408" s="35">
        <f t="shared" si="20"/>
        <v>581.95462499999996</v>
      </c>
    </row>
    <row r="409" spans="1:5" ht="15" customHeight="1" outlineLevel="1" x14ac:dyDescent="0.25">
      <c r="A409" s="11" t="s">
        <v>603</v>
      </c>
      <c r="B409" s="35">
        <f t="shared" si="18"/>
        <v>509.04630000000009</v>
      </c>
      <c r="C409" s="35">
        <f>476*(100-C$2)/100*1.05</f>
        <v>524.79000000000008</v>
      </c>
      <c r="D409" s="35">
        <f t="shared" si="19"/>
        <v>577.26900000000012</v>
      </c>
      <c r="E409" s="35">
        <f t="shared" si="20"/>
        <v>603.50850000000003</v>
      </c>
    </row>
    <row r="410" spans="1:5" ht="15" customHeight="1" outlineLevel="1" x14ac:dyDescent="0.25">
      <c r="A410" s="11" t="s">
        <v>929</v>
      </c>
      <c r="B410" s="35">
        <f t="shared" si="18"/>
        <v>518.67112499999996</v>
      </c>
      <c r="C410" s="35">
        <f>485*(100-C$2)/100*1.05</f>
        <v>534.71249999999998</v>
      </c>
      <c r="D410" s="35">
        <f t="shared" si="19"/>
        <v>588.18375000000003</v>
      </c>
      <c r="E410" s="35">
        <f t="shared" si="20"/>
        <v>614.91937499999995</v>
      </c>
    </row>
    <row r="411" spans="1:5" ht="15" customHeight="1" outlineLevel="1" x14ac:dyDescent="0.25">
      <c r="A411" s="11" t="s">
        <v>930</v>
      </c>
      <c r="B411" s="35">
        <f t="shared" si="18"/>
        <v>519.74054999999998</v>
      </c>
      <c r="C411" s="35">
        <f>486*(100-C$2)/100*1.05</f>
        <v>535.81500000000005</v>
      </c>
      <c r="D411" s="35">
        <f t="shared" si="19"/>
        <v>589.39650000000006</v>
      </c>
      <c r="E411" s="35">
        <f t="shared" si="20"/>
        <v>616.18725000000006</v>
      </c>
    </row>
    <row r="412" spans="1:5" ht="15" customHeight="1" outlineLevel="1" x14ac:dyDescent="0.25">
      <c r="A412" s="11" t="s">
        <v>604</v>
      </c>
      <c r="B412" s="35">
        <f t="shared" si="18"/>
        <v>532.57364999999993</v>
      </c>
      <c r="C412" s="35">
        <f>498*(100-C$2)/100*1.05</f>
        <v>549.04499999999996</v>
      </c>
      <c r="D412" s="35">
        <f t="shared" si="19"/>
        <v>603.94950000000006</v>
      </c>
      <c r="E412" s="35">
        <f t="shared" si="20"/>
        <v>631.40174999999988</v>
      </c>
    </row>
    <row r="413" spans="1:5" ht="15" customHeight="1" outlineLevel="1" x14ac:dyDescent="0.25">
      <c r="A413" s="11" t="s">
        <v>605</v>
      </c>
      <c r="B413" s="35">
        <f t="shared" si="18"/>
        <v>553.96215000000007</v>
      </c>
      <c r="C413" s="35">
        <f>518*(100-C$2)/100*1.05</f>
        <v>571.09500000000003</v>
      </c>
      <c r="D413" s="35">
        <f t="shared" si="19"/>
        <v>628.20450000000005</v>
      </c>
      <c r="E413" s="35">
        <f t="shared" si="20"/>
        <v>656.75924999999995</v>
      </c>
    </row>
    <row r="414" spans="1:5" ht="15" customHeight="1" outlineLevel="1" x14ac:dyDescent="0.25">
      <c r="A414" s="11" t="s">
        <v>606</v>
      </c>
      <c r="B414" s="35">
        <f t="shared" si="18"/>
        <v>529.36537500000009</v>
      </c>
      <c r="C414" s="35">
        <f>495*(100-C$2)/100*1.05</f>
        <v>545.73750000000007</v>
      </c>
      <c r="D414" s="35">
        <f t="shared" si="19"/>
        <v>600.31125000000009</v>
      </c>
      <c r="E414" s="35">
        <f t="shared" si="20"/>
        <v>627.59812499999998</v>
      </c>
    </row>
    <row r="415" spans="1:5" ht="15" customHeight="1" outlineLevel="1" x14ac:dyDescent="0.25">
      <c r="A415" s="11" t="s">
        <v>607</v>
      </c>
      <c r="B415" s="35">
        <f t="shared" si="18"/>
        <v>555.03157500000009</v>
      </c>
      <c r="C415" s="35">
        <f>519*(100-C$2)/100*1.05</f>
        <v>572.1975000000001</v>
      </c>
      <c r="D415" s="35">
        <f t="shared" si="19"/>
        <v>629.41725000000019</v>
      </c>
      <c r="E415" s="35">
        <f t="shared" si="20"/>
        <v>658.02712500000007</v>
      </c>
    </row>
    <row r="416" spans="1:5" ht="15" customHeight="1" outlineLevel="1" x14ac:dyDescent="0.25">
      <c r="A416" s="11" t="s">
        <v>608</v>
      </c>
      <c r="B416" s="35">
        <f t="shared" si="18"/>
        <v>568.93410000000006</v>
      </c>
      <c r="C416" s="35">
        <f>532*(100-C$2)/100*1.05</f>
        <v>586.53000000000009</v>
      </c>
      <c r="D416" s="35">
        <f t="shared" si="19"/>
        <v>645.18300000000011</v>
      </c>
      <c r="E416" s="35">
        <f t="shared" si="20"/>
        <v>674.5095</v>
      </c>
    </row>
    <row r="417" spans="1:5" ht="15" customHeight="1" outlineLevel="1" x14ac:dyDescent="0.25">
      <c r="A417" s="11" t="s">
        <v>609</v>
      </c>
      <c r="B417" s="35">
        <f t="shared" si="18"/>
        <v>633.09960000000001</v>
      </c>
      <c r="C417" s="35">
        <f>592*(100-C$2)/100*1.05</f>
        <v>652.68000000000006</v>
      </c>
      <c r="D417" s="35">
        <f t="shared" si="19"/>
        <v>717.94800000000009</v>
      </c>
      <c r="E417" s="35">
        <f t="shared" si="20"/>
        <v>750.58199999999999</v>
      </c>
    </row>
    <row r="418" spans="1:5" ht="15" customHeight="1" outlineLevel="1" x14ac:dyDescent="0.25">
      <c r="A418" s="11" t="s">
        <v>610</v>
      </c>
      <c r="B418" s="35">
        <f t="shared" si="18"/>
        <v>548.61502499999995</v>
      </c>
      <c r="C418" s="35">
        <f>513*(100-C$2)/100*1.05</f>
        <v>565.58249999999998</v>
      </c>
      <c r="D418" s="35">
        <f t="shared" si="19"/>
        <v>622.14075000000003</v>
      </c>
      <c r="E418" s="35">
        <f t="shared" si="20"/>
        <v>650.41987499999993</v>
      </c>
    </row>
    <row r="419" spans="1:5" ht="15" customHeight="1" outlineLevel="1" x14ac:dyDescent="0.25">
      <c r="A419" s="11" t="s">
        <v>931</v>
      </c>
      <c r="B419" s="35">
        <f t="shared" si="18"/>
        <v>567.86467500000003</v>
      </c>
      <c r="C419" s="35">
        <f>531*(100-C$2)/100*1.05</f>
        <v>585.42750000000001</v>
      </c>
      <c r="D419" s="35">
        <f t="shared" si="19"/>
        <v>643.97025000000008</v>
      </c>
      <c r="E419" s="35">
        <f t="shared" si="20"/>
        <v>673.241625</v>
      </c>
    </row>
    <row r="420" spans="1:5" ht="15" customHeight="1" outlineLevel="1" x14ac:dyDescent="0.25">
      <c r="A420" s="11" t="s">
        <v>932</v>
      </c>
      <c r="B420" s="35">
        <f t="shared" si="18"/>
        <v>570.00352500000008</v>
      </c>
      <c r="C420" s="35">
        <f>533*(100-C$2)/100*1.05</f>
        <v>587.63250000000005</v>
      </c>
      <c r="D420" s="35">
        <f t="shared" si="19"/>
        <v>646.39575000000013</v>
      </c>
      <c r="E420" s="35">
        <f t="shared" si="20"/>
        <v>675.77737500000001</v>
      </c>
    </row>
    <row r="421" spans="1:5" ht="15" customHeight="1" outlineLevel="1" x14ac:dyDescent="0.25">
      <c r="A421" s="11" t="s">
        <v>611</v>
      </c>
      <c r="B421" s="35">
        <f t="shared" si="18"/>
        <v>578.55892499999993</v>
      </c>
      <c r="C421" s="35">
        <f>541*(100-C$2)/100*1.05</f>
        <v>596.45249999999999</v>
      </c>
      <c r="D421" s="35">
        <f t="shared" si="19"/>
        <v>656.09775000000002</v>
      </c>
      <c r="E421" s="35">
        <f t="shared" si="20"/>
        <v>685.92037499999992</v>
      </c>
    </row>
    <row r="422" spans="1:5" ht="15" customHeight="1" outlineLevel="1" x14ac:dyDescent="0.25">
      <c r="A422" s="11" t="s">
        <v>612</v>
      </c>
      <c r="B422" s="35">
        <f t="shared" si="18"/>
        <v>620.26650000000006</v>
      </c>
      <c r="C422" s="35">
        <f>580*(100-C$2)/100*1.05</f>
        <v>639.45000000000005</v>
      </c>
      <c r="D422" s="35">
        <f t="shared" si="19"/>
        <v>703.3950000000001</v>
      </c>
      <c r="E422" s="35">
        <f t="shared" si="20"/>
        <v>735.36749999999995</v>
      </c>
    </row>
    <row r="423" spans="1:5" ht="15" customHeight="1" outlineLevel="1" x14ac:dyDescent="0.25">
      <c r="A423" s="11" t="s">
        <v>613</v>
      </c>
      <c r="B423" s="35">
        <f t="shared" si="18"/>
        <v>684.43200000000002</v>
      </c>
      <c r="C423" s="35">
        <f>640*(100-C$2)/100*1.05</f>
        <v>705.6</v>
      </c>
      <c r="D423" s="35">
        <f t="shared" si="19"/>
        <v>776.16000000000008</v>
      </c>
      <c r="E423" s="35">
        <f t="shared" si="20"/>
        <v>811.43999999999994</v>
      </c>
    </row>
    <row r="424" spans="1:5" ht="15" customHeight="1" outlineLevel="1" x14ac:dyDescent="0.25">
      <c r="A424" s="11" t="s">
        <v>614</v>
      </c>
      <c r="B424" s="35">
        <f t="shared" si="18"/>
        <v>737.90324999999996</v>
      </c>
      <c r="C424" s="35">
        <f>690*(100-C$2)/100*1.05</f>
        <v>760.72500000000002</v>
      </c>
      <c r="D424" s="35">
        <f t="shared" si="19"/>
        <v>836.79750000000013</v>
      </c>
      <c r="E424" s="35">
        <f t="shared" si="20"/>
        <v>874.83375000000001</v>
      </c>
    </row>
    <row r="425" spans="1:5" ht="15" customHeight="1" outlineLevel="1" x14ac:dyDescent="0.25">
      <c r="A425" s="11" t="s">
        <v>615</v>
      </c>
      <c r="B425" s="35">
        <f t="shared" si="18"/>
        <v>578.55892499999993</v>
      </c>
      <c r="C425" s="35">
        <f>541*(100-C$2)/100*1.05</f>
        <v>596.45249999999999</v>
      </c>
      <c r="D425" s="35">
        <f t="shared" si="19"/>
        <v>656.09775000000002</v>
      </c>
      <c r="E425" s="35">
        <f t="shared" si="20"/>
        <v>685.92037499999992</v>
      </c>
    </row>
    <row r="426" spans="1:5" ht="15" customHeight="1" outlineLevel="1" x14ac:dyDescent="0.25">
      <c r="A426" s="11" t="s">
        <v>616</v>
      </c>
      <c r="B426" s="35">
        <f t="shared" si="18"/>
        <v>625.61362499999996</v>
      </c>
      <c r="C426" s="35">
        <f>585*(100-C$2)/100*1.05</f>
        <v>644.96249999999998</v>
      </c>
      <c r="D426" s="35">
        <f t="shared" si="19"/>
        <v>709.45875000000001</v>
      </c>
      <c r="E426" s="35">
        <f t="shared" si="20"/>
        <v>741.70687499999997</v>
      </c>
    </row>
    <row r="427" spans="1:5" ht="15" customHeight="1" outlineLevel="1" x14ac:dyDescent="0.25">
      <c r="A427" s="11" t="s">
        <v>617</v>
      </c>
      <c r="B427" s="35">
        <f t="shared" si="18"/>
        <v>652.34924999999998</v>
      </c>
      <c r="C427" s="35">
        <f>610*(100-C$2)/100*1.05</f>
        <v>672.52499999999998</v>
      </c>
      <c r="D427" s="35">
        <f t="shared" si="19"/>
        <v>739.77750000000003</v>
      </c>
      <c r="E427" s="35">
        <f t="shared" si="20"/>
        <v>773.40374999999995</v>
      </c>
    </row>
    <row r="428" spans="1:5" ht="15" customHeight="1" outlineLevel="1" x14ac:dyDescent="0.25">
      <c r="A428" s="11" t="s">
        <v>618</v>
      </c>
      <c r="B428" s="35">
        <f t="shared" si="18"/>
        <v>705.82049999999992</v>
      </c>
      <c r="C428" s="35">
        <f>660*(100-C$2)/100*1.05</f>
        <v>727.65</v>
      </c>
      <c r="D428" s="35">
        <f t="shared" si="19"/>
        <v>800.41500000000008</v>
      </c>
      <c r="E428" s="35">
        <f t="shared" si="20"/>
        <v>836.7974999999999</v>
      </c>
    </row>
    <row r="429" spans="1:5" ht="15" customHeight="1" outlineLevel="1" x14ac:dyDescent="0.25">
      <c r="A429" s="11" t="s">
        <v>619</v>
      </c>
      <c r="B429" s="35">
        <f t="shared" si="18"/>
        <v>764.63887499999998</v>
      </c>
      <c r="C429" s="35">
        <f>715*(100-C$2)/100*1.05</f>
        <v>788.28750000000002</v>
      </c>
      <c r="D429" s="35">
        <f t="shared" si="19"/>
        <v>867.11625000000015</v>
      </c>
      <c r="E429" s="35">
        <f t="shared" si="20"/>
        <v>906.53062499999999</v>
      </c>
    </row>
    <row r="430" spans="1:5" ht="15" customHeight="1" outlineLevel="1" x14ac:dyDescent="0.25">
      <c r="A430" s="11" t="s">
        <v>620</v>
      </c>
      <c r="B430" s="35">
        <f t="shared" si="18"/>
        <v>615.98879999999997</v>
      </c>
      <c r="C430" s="35">
        <f>576*(100-C$2)/100*1.05</f>
        <v>635.04</v>
      </c>
      <c r="D430" s="35">
        <f t="shared" si="19"/>
        <v>698.54399999999998</v>
      </c>
      <c r="E430" s="35">
        <f t="shared" si="20"/>
        <v>730.29599999999994</v>
      </c>
    </row>
    <row r="431" spans="1:5" ht="15" customHeight="1" outlineLevel="1" x14ac:dyDescent="0.25">
      <c r="A431" s="11" t="s">
        <v>933</v>
      </c>
      <c r="B431" s="35">
        <f t="shared" si="18"/>
        <v>623.47477500000002</v>
      </c>
      <c r="C431" s="35">
        <f>583*(100-C$2)/100*1.05</f>
        <v>642.75750000000005</v>
      </c>
      <c r="D431" s="35">
        <f t="shared" si="19"/>
        <v>707.03325000000007</v>
      </c>
      <c r="E431" s="35">
        <f t="shared" si="20"/>
        <v>739.17112499999996</v>
      </c>
    </row>
    <row r="432" spans="1:5" ht="15" customHeight="1" outlineLevel="1" x14ac:dyDescent="0.25">
      <c r="A432" s="11" t="s">
        <v>934</v>
      </c>
      <c r="B432" s="35">
        <f t="shared" si="18"/>
        <v>626.68304999999998</v>
      </c>
      <c r="C432" s="35">
        <f>586*(100-C$2)/100*1.05</f>
        <v>646.06499999999994</v>
      </c>
      <c r="D432" s="35">
        <f t="shared" si="19"/>
        <v>710.67150000000004</v>
      </c>
      <c r="E432" s="35">
        <f t="shared" si="20"/>
        <v>742.97474999999986</v>
      </c>
    </row>
    <row r="433" spans="1:5" ht="15" customHeight="1" outlineLevel="1" x14ac:dyDescent="0.25">
      <c r="A433" s="11" t="s">
        <v>621</v>
      </c>
      <c r="B433" s="35">
        <f t="shared" si="18"/>
        <v>665.18235000000004</v>
      </c>
      <c r="C433" s="35">
        <f>622*(100-C$2)/100*1.05</f>
        <v>685.75500000000011</v>
      </c>
      <c r="D433" s="35">
        <f t="shared" si="19"/>
        <v>754.33050000000014</v>
      </c>
      <c r="E433" s="35">
        <f t="shared" si="20"/>
        <v>788.6182500000001</v>
      </c>
    </row>
    <row r="434" spans="1:5" ht="15" customHeight="1" outlineLevel="1" x14ac:dyDescent="0.25">
      <c r="A434" s="11" t="s">
        <v>622</v>
      </c>
      <c r="B434" s="35">
        <f t="shared" si="18"/>
        <v>683.36257499999999</v>
      </c>
      <c r="C434" s="35">
        <f>639*(100-C$2)/100*1.05</f>
        <v>704.49750000000006</v>
      </c>
      <c r="D434" s="35">
        <f t="shared" si="19"/>
        <v>774.94725000000017</v>
      </c>
      <c r="E434" s="35">
        <f t="shared" si="20"/>
        <v>810.17212500000005</v>
      </c>
    </row>
    <row r="435" spans="1:5" ht="15" customHeight="1" outlineLevel="1" x14ac:dyDescent="0.25">
      <c r="A435" s="11" t="s">
        <v>623</v>
      </c>
      <c r="B435" s="35">
        <f t="shared" si="18"/>
        <v>722.93129999999996</v>
      </c>
      <c r="C435" s="35">
        <f>676*(100-C$2)/100*1.05</f>
        <v>745.29</v>
      </c>
      <c r="D435" s="35">
        <f t="shared" si="19"/>
        <v>819.81900000000007</v>
      </c>
      <c r="E435" s="35">
        <f t="shared" si="20"/>
        <v>857.08349999999984</v>
      </c>
    </row>
    <row r="436" spans="1:5" ht="15" customHeight="1" outlineLevel="1" x14ac:dyDescent="0.25">
      <c r="A436" s="11" t="s">
        <v>624</v>
      </c>
      <c r="B436" s="35">
        <f t="shared" si="18"/>
        <v>796.72162500000002</v>
      </c>
      <c r="C436" s="35">
        <f>745*(100-C$2)/100*1.05</f>
        <v>821.36250000000007</v>
      </c>
      <c r="D436" s="35">
        <f t="shared" si="19"/>
        <v>903.4987500000002</v>
      </c>
      <c r="E436" s="35">
        <f t="shared" si="20"/>
        <v>944.56687499999998</v>
      </c>
    </row>
    <row r="437" spans="1:5" ht="15" customHeight="1" outlineLevel="1" x14ac:dyDescent="0.25">
      <c r="A437" s="11" t="s">
        <v>625</v>
      </c>
      <c r="B437" s="35">
        <f t="shared" si="18"/>
        <v>672.6683250000001</v>
      </c>
      <c r="C437" s="35">
        <f>629*(100-C$2)/100*1.05</f>
        <v>693.47250000000008</v>
      </c>
      <c r="D437" s="35">
        <f t="shared" si="19"/>
        <v>762.81975000000011</v>
      </c>
      <c r="E437" s="35">
        <f t="shared" si="20"/>
        <v>797.49337500000001</v>
      </c>
    </row>
    <row r="438" spans="1:5" ht="15" customHeight="1" outlineLevel="1" x14ac:dyDescent="0.25">
      <c r="A438" s="11" t="s">
        <v>935</v>
      </c>
      <c r="B438" s="35">
        <f t="shared" si="18"/>
        <v>680.15429999999992</v>
      </c>
      <c r="C438" s="35">
        <f>636*(100-C$2)/100*1.05</f>
        <v>701.18999999999994</v>
      </c>
      <c r="D438" s="35">
        <f t="shared" si="19"/>
        <v>771.30899999999997</v>
      </c>
      <c r="E438" s="35">
        <f t="shared" si="20"/>
        <v>806.36849999999993</v>
      </c>
    </row>
    <row r="439" spans="1:5" ht="15" customHeight="1" outlineLevel="1" x14ac:dyDescent="0.25">
      <c r="A439" s="11" t="s">
        <v>936</v>
      </c>
      <c r="B439" s="35">
        <f t="shared" si="18"/>
        <v>681.22372499999994</v>
      </c>
      <c r="C439" s="35">
        <f>637*(100-C$2)/100*1.05</f>
        <v>702.29250000000002</v>
      </c>
      <c r="D439" s="35">
        <f t="shared" si="19"/>
        <v>772.52175000000011</v>
      </c>
      <c r="E439" s="35">
        <f t="shared" si="20"/>
        <v>807.63637499999993</v>
      </c>
    </row>
    <row r="440" spans="1:5" ht="15" customHeight="1" outlineLevel="1" x14ac:dyDescent="0.25">
      <c r="A440" s="11" t="s">
        <v>626</v>
      </c>
      <c r="B440" s="35">
        <f t="shared" si="18"/>
        <v>695.12625000000003</v>
      </c>
      <c r="C440" s="35">
        <f>650*(100-C$2)/100*1.05</f>
        <v>716.625</v>
      </c>
      <c r="D440" s="35">
        <f t="shared" si="19"/>
        <v>788.28750000000002</v>
      </c>
      <c r="E440" s="35">
        <f t="shared" si="20"/>
        <v>824.11874999999998</v>
      </c>
    </row>
    <row r="441" spans="1:5" ht="15" customHeight="1" outlineLevel="1" x14ac:dyDescent="0.25">
      <c r="A441" s="11" t="s">
        <v>627</v>
      </c>
      <c r="B441" s="35">
        <f t="shared" si="18"/>
        <v>810.62414999999999</v>
      </c>
      <c r="C441" s="35">
        <f>758*(100-C$2)/100*1.05</f>
        <v>835.69500000000005</v>
      </c>
      <c r="D441" s="35">
        <f t="shared" si="19"/>
        <v>919.26450000000011</v>
      </c>
      <c r="E441" s="35">
        <f t="shared" si="20"/>
        <v>961.04925000000003</v>
      </c>
    </row>
    <row r="442" spans="1:5" ht="15" customHeight="1" outlineLevel="1" x14ac:dyDescent="0.25">
      <c r="A442" s="11" t="s">
        <v>628</v>
      </c>
      <c r="B442" s="35">
        <f t="shared" si="18"/>
        <v>871.58137499999998</v>
      </c>
      <c r="C442" s="35">
        <f>815*(100-C$2)/100*1.05</f>
        <v>898.53750000000002</v>
      </c>
      <c r="D442" s="35">
        <f t="shared" si="19"/>
        <v>988.39125000000013</v>
      </c>
      <c r="E442" s="35">
        <f t="shared" si="20"/>
        <v>1033.318125</v>
      </c>
    </row>
    <row r="443" spans="1:5" ht="15" customHeight="1" outlineLevel="1" x14ac:dyDescent="0.25">
      <c r="A443" s="11" t="s">
        <v>629</v>
      </c>
      <c r="B443" s="35">
        <f t="shared" si="18"/>
        <v>940.02457500000003</v>
      </c>
      <c r="C443" s="35">
        <f>879*(100-C$2)/100*1.05</f>
        <v>969.09750000000008</v>
      </c>
      <c r="D443" s="35">
        <f t="shared" si="19"/>
        <v>1066.0072500000001</v>
      </c>
      <c r="E443" s="35">
        <f t="shared" si="20"/>
        <v>1114.462125</v>
      </c>
    </row>
    <row r="444" spans="1:5" ht="15" customHeight="1" outlineLevel="1" x14ac:dyDescent="0.25">
      <c r="A444" s="11" t="s">
        <v>630</v>
      </c>
      <c r="B444" s="35">
        <f t="shared" si="18"/>
        <v>810.62414999999999</v>
      </c>
      <c r="C444" s="35">
        <f>758*(100-C$2)/100*1.05</f>
        <v>835.69500000000005</v>
      </c>
      <c r="D444" s="35">
        <f t="shared" si="19"/>
        <v>919.26450000000011</v>
      </c>
      <c r="E444" s="35">
        <f t="shared" si="20"/>
        <v>961.04925000000003</v>
      </c>
    </row>
    <row r="445" spans="1:5" ht="15" customHeight="1" outlineLevel="1" x14ac:dyDescent="0.25">
      <c r="A445" s="11" t="s">
        <v>937</v>
      </c>
      <c r="B445" s="35">
        <f t="shared" si="18"/>
        <v>870.51195000000007</v>
      </c>
      <c r="C445" s="35">
        <f>814*(100-C$2)/100*1.05</f>
        <v>897.43500000000006</v>
      </c>
      <c r="D445" s="35">
        <f t="shared" si="19"/>
        <v>987.1785000000001</v>
      </c>
      <c r="E445" s="35">
        <f t="shared" si="20"/>
        <v>1032.05025</v>
      </c>
    </row>
    <row r="446" spans="1:5" ht="15" customHeight="1" outlineLevel="1" x14ac:dyDescent="0.25">
      <c r="A446" s="11" t="s">
        <v>938</v>
      </c>
      <c r="B446" s="35">
        <f t="shared" si="18"/>
        <v>873.72022500000003</v>
      </c>
      <c r="C446" s="35">
        <f>817*(100-C$2)/100*1.05</f>
        <v>900.74250000000006</v>
      </c>
      <c r="D446" s="35">
        <f t="shared" si="19"/>
        <v>990.81675000000018</v>
      </c>
      <c r="E446" s="35">
        <f t="shared" si="20"/>
        <v>1035.853875</v>
      </c>
    </row>
    <row r="447" spans="1:5" ht="15" customHeight="1" outlineLevel="1" x14ac:dyDescent="0.25">
      <c r="A447" s="11" t="s">
        <v>631</v>
      </c>
      <c r="B447" s="35">
        <f t="shared" si="18"/>
        <v>903.66412500000001</v>
      </c>
      <c r="C447" s="35">
        <f>845*(100-C$2)/100*1.05</f>
        <v>931.61250000000007</v>
      </c>
      <c r="D447" s="35">
        <f t="shared" si="19"/>
        <v>1024.7737500000001</v>
      </c>
      <c r="E447" s="35">
        <f t="shared" si="20"/>
        <v>1071.3543749999999</v>
      </c>
    </row>
    <row r="448" spans="1:5" ht="15" customHeight="1" outlineLevel="1" x14ac:dyDescent="0.25">
      <c r="A448" s="11" t="s">
        <v>632</v>
      </c>
      <c r="B448" s="35">
        <f t="shared" ref="B448:B510" si="21">C448*0.97</f>
        <v>936.81629999999996</v>
      </c>
      <c r="C448" s="35">
        <f>876*(100-C$2)/100*1.05</f>
        <v>965.79</v>
      </c>
      <c r="D448" s="35">
        <f t="shared" ref="D448:D510" si="22">C448*1.1</f>
        <v>1062.3690000000001</v>
      </c>
      <c r="E448" s="35">
        <f t="shared" ref="E448:E510" si="23">C448*1.15</f>
        <v>1110.6584999999998</v>
      </c>
    </row>
    <row r="449" spans="1:5" ht="15" customHeight="1" outlineLevel="1" x14ac:dyDescent="0.25">
      <c r="A449" s="11" t="s">
        <v>633</v>
      </c>
      <c r="B449" s="35">
        <f t="shared" si="21"/>
        <v>1018.0926000000002</v>
      </c>
      <c r="C449" s="35">
        <f>952*(100-C$2)/100*1.05</f>
        <v>1049.5800000000002</v>
      </c>
      <c r="D449" s="35">
        <f t="shared" si="22"/>
        <v>1154.5380000000002</v>
      </c>
      <c r="E449" s="35">
        <f t="shared" si="23"/>
        <v>1207.0170000000001</v>
      </c>
    </row>
    <row r="450" spans="1:5" ht="15" customHeight="1" outlineLevel="1" x14ac:dyDescent="0.25">
      <c r="A450" s="11" t="s">
        <v>634</v>
      </c>
      <c r="B450" s="35">
        <f t="shared" si="21"/>
        <v>1125.0350999999998</v>
      </c>
      <c r="C450" s="35">
        <f>1052*(100-C$2)/100*1.05</f>
        <v>1159.83</v>
      </c>
      <c r="D450" s="35">
        <f t="shared" si="22"/>
        <v>1275.8130000000001</v>
      </c>
      <c r="E450" s="35">
        <f t="shared" si="23"/>
        <v>1333.8044999999997</v>
      </c>
    </row>
    <row r="451" spans="1:5" ht="20.100000000000001" customHeight="1" outlineLevel="1" x14ac:dyDescent="0.25">
      <c r="A451" s="167" t="s">
        <v>941</v>
      </c>
      <c r="B451" s="168"/>
      <c r="C451" s="168"/>
      <c r="D451" s="168"/>
      <c r="E451" s="169"/>
    </row>
    <row r="452" spans="1:5" ht="15" customHeight="1" outlineLevel="1" x14ac:dyDescent="0.25">
      <c r="A452" s="11" t="s">
        <v>635</v>
      </c>
      <c r="B452" s="35">
        <f t="shared" si="21"/>
        <v>189.441</v>
      </c>
      <c r="C452" s="35">
        <f>186*(100-C$2)/100</f>
        <v>195.3</v>
      </c>
      <c r="D452" s="35">
        <f t="shared" si="22"/>
        <v>214.83000000000004</v>
      </c>
      <c r="E452" s="35">
        <f t="shared" si="23"/>
        <v>224.595</v>
      </c>
    </row>
    <row r="453" spans="1:5" ht="15" customHeight="1" outlineLevel="1" x14ac:dyDescent="0.25">
      <c r="A453" s="11" t="s">
        <v>939</v>
      </c>
      <c r="B453" s="35">
        <f t="shared" si="21"/>
        <v>193.51499999999999</v>
      </c>
      <c r="C453" s="35">
        <f>190*(100-C$2)/100</f>
        <v>199.5</v>
      </c>
      <c r="D453" s="35">
        <f t="shared" si="22"/>
        <v>219.45000000000002</v>
      </c>
      <c r="E453" s="35">
        <f t="shared" si="23"/>
        <v>229.42499999999998</v>
      </c>
    </row>
    <row r="454" spans="1:5" ht="15" customHeight="1" outlineLevel="1" x14ac:dyDescent="0.25">
      <c r="A454" s="11" t="s">
        <v>636</v>
      </c>
      <c r="B454" s="35">
        <f t="shared" si="21"/>
        <v>200.64449999999999</v>
      </c>
      <c r="C454" s="35">
        <f>197*(100-C$2)/100</f>
        <v>206.85</v>
      </c>
      <c r="D454" s="35">
        <f t="shared" si="22"/>
        <v>227.53500000000003</v>
      </c>
      <c r="E454" s="35">
        <f t="shared" si="23"/>
        <v>237.87749999999997</v>
      </c>
    </row>
    <row r="455" spans="1:5" ht="15" customHeight="1" outlineLevel="1" x14ac:dyDescent="0.25">
      <c r="A455" s="11" t="s">
        <v>637</v>
      </c>
      <c r="B455" s="35">
        <f t="shared" si="21"/>
        <v>214.90350000000001</v>
      </c>
      <c r="C455" s="35">
        <f>211*(100-C$2)/100</f>
        <v>221.55</v>
      </c>
      <c r="D455" s="35">
        <f t="shared" si="22"/>
        <v>243.70500000000004</v>
      </c>
      <c r="E455" s="35">
        <f t="shared" si="23"/>
        <v>254.7825</v>
      </c>
    </row>
    <row r="456" spans="1:5" ht="15" customHeight="1" outlineLevel="1" x14ac:dyDescent="0.25">
      <c r="A456" s="11" t="s">
        <v>638</v>
      </c>
      <c r="B456" s="35">
        <f t="shared" si="21"/>
        <v>236.292</v>
      </c>
      <c r="C456" s="35">
        <f>232*(100-C$2)/100</f>
        <v>243.6</v>
      </c>
      <c r="D456" s="35">
        <f t="shared" si="22"/>
        <v>267.96000000000004</v>
      </c>
      <c r="E456" s="35">
        <f t="shared" si="23"/>
        <v>280.14</v>
      </c>
    </row>
    <row r="457" spans="1:5" ht="15" customHeight="1" outlineLevel="1" x14ac:dyDescent="0.25">
      <c r="A457" s="11" t="s">
        <v>639</v>
      </c>
      <c r="B457" s="35">
        <f t="shared" si="21"/>
        <v>252.58799999999997</v>
      </c>
      <c r="C457" s="35">
        <f>248*(100-C$2)/100</f>
        <v>260.39999999999998</v>
      </c>
      <c r="D457" s="35">
        <f t="shared" si="22"/>
        <v>286.44</v>
      </c>
      <c r="E457" s="35">
        <f t="shared" si="23"/>
        <v>299.45999999999992</v>
      </c>
    </row>
    <row r="458" spans="1:5" ht="15" customHeight="1" outlineLevel="1" x14ac:dyDescent="0.25">
      <c r="A458" s="11" t="s">
        <v>640</v>
      </c>
      <c r="B458" s="35">
        <f t="shared" si="21"/>
        <v>271.93950000000001</v>
      </c>
      <c r="C458" s="35">
        <f>267*(100-C$2)/100</f>
        <v>280.35000000000002</v>
      </c>
      <c r="D458" s="35">
        <f t="shared" si="22"/>
        <v>308.38500000000005</v>
      </c>
      <c r="E458" s="35">
        <f t="shared" si="23"/>
        <v>322.40249999999997</v>
      </c>
    </row>
    <row r="459" spans="1:5" ht="15" customHeight="1" outlineLevel="1" x14ac:dyDescent="0.25">
      <c r="A459" s="11" t="s">
        <v>641</v>
      </c>
      <c r="B459" s="35">
        <f t="shared" si="21"/>
        <v>350.36399999999998</v>
      </c>
      <c r="C459" s="35">
        <f>344*(100-C$2)/100</f>
        <v>361.2</v>
      </c>
      <c r="D459" s="35">
        <f t="shared" si="22"/>
        <v>397.32</v>
      </c>
      <c r="E459" s="35">
        <f t="shared" si="23"/>
        <v>415.37999999999994</v>
      </c>
    </row>
    <row r="460" spans="1:5" ht="15" customHeight="1" outlineLevel="1" x14ac:dyDescent="0.25">
      <c r="A460" s="11" t="s">
        <v>642</v>
      </c>
      <c r="B460" s="35">
        <f t="shared" si="21"/>
        <v>373.78950000000003</v>
      </c>
      <c r="C460" s="35">
        <f>367*(100-C$2)/100</f>
        <v>385.35</v>
      </c>
      <c r="D460" s="35">
        <f t="shared" si="22"/>
        <v>423.88500000000005</v>
      </c>
      <c r="E460" s="35">
        <f t="shared" si="23"/>
        <v>443.15249999999997</v>
      </c>
    </row>
    <row r="461" spans="1:5" ht="20.100000000000001" customHeight="1" outlineLevel="1" x14ac:dyDescent="0.25">
      <c r="A461" s="167" t="s">
        <v>940</v>
      </c>
      <c r="B461" s="168"/>
      <c r="C461" s="168"/>
      <c r="D461" s="168"/>
      <c r="E461" s="169"/>
    </row>
    <row r="462" spans="1:5" ht="15" customHeight="1" outlineLevel="1" x14ac:dyDescent="0.25">
      <c r="A462" s="9" t="s">
        <v>643</v>
      </c>
      <c r="B462" s="35">
        <f t="shared" si="21"/>
        <v>349.34549999999996</v>
      </c>
      <c r="C462" s="35">
        <f>343*(100-C$2)/100</f>
        <v>360.15</v>
      </c>
      <c r="D462" s="35">
        <f t="shared" si="22"/>
        <v>396.16500000000002</v>
      </c>
      <c r="E462" s="35">
        <f t="shared" si="23"/>
        <v>414.17249999999996</v>
      </c>
    </row>
    <row r="463" spans="1:5" ht="15" customHeight="1" outlineLevel="1" x14ac:dyDescent="0.25">
      <c r="A463" s="9" t="s">
        <v>644</v>
      </c>
      <c r="B463" s="35">
        <f t="shared" si="21"/>
        <v>355.45650000000001</v>
      </c>
      <c r="C463" s="35">
        <f>349*(100-C$2)/100</f>
        <v>366.45</v>
      </c>
      <c r="D463" s="35">
        <f t="shared" si="22"/>
        <v>403.09500000000003</v>
      </c>
      <c r="E463" s="35">
        <f t="shared" si="23"/>
        <v>421.41749999999996</v>
      </c>
    </row>
    <row r="464" spans="1:5" ht="15" customHeight="1" outlineLevel="1" x14ac:dyDescent="0.25">
      <c r="A464" s="9" t="s">
        <v>645</v>
      </c>
      <c r="B464" s="35">
        <f t="shared" si="21"/>
        <v>356.47499999999997</v>
      </c>
      <c r="C464" s="35">
        <f>350*(100-C$2)/100</f>
        <v>367.5</v>
      </c>
      <c r="D464" s="35">
        <f t="shared" si="22"/>
        <v>404.25000000000006</v>
      </c>
      <c r="E464" s="35">
        <f t="shared" si="23"/>
        <v>422.62499999999994</v>
      </c>
    </row>
    <row r="465" spans="1:5" ht="15" customHeight="1" outlineLevel="1" x14ac:dyDescent="0.25">
      <c r="A465" s="9" t="s">
        <v>646</v>
      </c>
      <c r="B465" s="35">
        <f t="shared" si="21"/>
        <v>362.58600000000001</v>
      </c>
      <c r="C465" s="35">
        <f>356*(100-C$2)/100</f>
        <v>373.8</v>
      </c>
      <c r="D465" s="35">
        <f t="shared" si="22"/>
        <v>411.18000000000006</v>
      </c>
      <c r="E465" s="35">
        <f t="shared" si="23"/>
        <v>429.87</v>
      </c>
    </row>
    <row r="466" spans="1:5" ht="15" customHeight="1" outlineLevel="1" x14ac:dyDescent="0.25">
      <c r="A466" s="9" t="s">
        <v>647</v>
      </c>
      <c r="B466" s="35">
        <f t="shared" si="21"/>
        <v>372.77100000000002</v>
      </c>
      <c r="C466" s="35">
        <f>366*(100-C$2)/100</f>
        <v>384.3</v>
      </c>
      <c r="D466" s="35">
        <f t="shared" si="22"/>
        <v>422.73000000000008</v>
      </c>
      <c r="E466" s="35">
        <f t="shared" si="23"/>
        <v>441.94499999999999</v>
      </c>
    </row>
    <row r="467" spans="1:5" ht="15" customHeight="1" outlineLevel="1" x14ac:dyDescent="0.25">
      <c r="A467" s="9" t="s">
        <v>648</v>
      </c>
      <c r="B467" s="35">
        <f t="shared" si="21"/>
        <v>374.80799999999999</v>
      </c>
      <c r="C467" s="35">
        <f>368*(100-C$2)/100</f>
        <v>386.4</v>
      </c>
      <c r="D467" s="35">
        <f t="shared" si="22"/>
        <v>425.04</v>
      </c>
      <c r="E467" s="35">
        <f t="shared" si="23"/>
        <v>444.35999999999996</v>
      </c>
    </row>
    <row r="468" spans="1:5" ht="15" customHeight="1" outlineLevel="1" x14ac:dyDescent="0.25">
      <c r="A468" s="9" t="s">
        <v>649</v>
      </c>
      <c r="B468" s="35">
        <f t="shared" si="21"/>
        <v>376.84499999999997</v>
      </c>
      <c r="C468" s="35">
        <f>370*(100-C$2)/100</f>
        <v>388.5</v>
      </c>
      <c r="D468" s="35">
        <f t="shared" si="22"/>
        <v>427.35</v>
      </c>
      <c r="E468" s="35">
        <f t="shared" si="23"/>
        <v>446.77499999999998</v>
      </c>
    </row>
    <row r="469" spans="1:5" ht="15" customHeight="1" outlineLevel="1" x14ac:dyDescent="0.25">
      <c r="A469" s="9" t="s">
        <v>650</v>
      </c>
      <c r="B469" s="35">
        <f t="shared" si="21"/>
        <v>391.10399999999998</v>
      </c>
      <c r="C469" s="35">
        <f>384*(100-C$2)/100</f>
        <v>403.2</v>
      </c>
      <c r="D469" s="35">
        <f t="shared" si="22"/>
        <v>443.52000000000004</v>
      </c>
      <c r="E469" s="35">
        <f t="shared" si="23"/>
        <v>463.67999999999995</v>
      </c>
    </row>
    <row r="470" spans="1:5" ht="15" customHeight="1" outlineLevel="1" x14ac:dyDescent="0.25">
      <c r="A470" s="9" t="s">
        <v>651</v>
      </c>
      <c r="B470" s="35">
        <f t="shared" si="21"/>
        <v>381.9375</v>
      </c>
      <c r="C470" s="35">
        <f>375*(100-C$2)/100</f>
        <v>393.75</v>
      </c>
      <c r="D470" s="35">
        <f t="shared" si="22"/>
        <v>433.12500000000006</v>
      </c>
      <c r="E470" s="35">
        <f t="shared" si="23"/>
        <v>452.81249999999994</v>
      </c>
    </row>
    <row r="471" spans="1:5" ht="15" customHeight="1" outlineLevel="1" x14ac:dyDescent="0.25">
      <c r="A471" s="9" t="s">
        <v>652</v>
      </c>
      <c r="B471" s="35">
        <f t="shared" si="21"/>
        <v>402.3075</v>
      </c>
      <c r="C471" s="35">
        <f>395*(100-C$2)/100</f>
        <v>414.75</v>
      </c>
      <c r="D471" s="35">
        <f t="shared" si="22"/>
        <v>456.22500000000002</v>
      </c>
      <c r="E471" s="35">
        <f t="shared" si="23"/>
        <v>476.96249999999998</v>
      </c>
    </row>
    <row r="472" spans="1:5" ht="15" customHeight="1" outlineLevel="1" x14ac:dyDescent="0.25">
      <c r="A472" s="9" t="s">
        <v>653</v>
      </c>
      <c r="B472" s="35">
        <f t="shared" si="21"/>
        <v>397.21499999999997</v>
      </c>
      <c r="C472" s="35">
        <f>390*(100-C$2)/100</f>
        <v>409.5</v>
      </c>
      <c r="D472" s="35">
        <f t="shared" si="22"/>
        <v>450.45000000000005</v>
      </c>
      <c r="E472" s="35">
        <f t="shared" si="23"/>
        <v>470.92499999999995</v>
      </c>
    </row>
    <row r="473" spans="1:5" ht="15" customHeight="1" outlineLevel="1" x14ac:dyDescent="0.25">
      <c r="A473" s="9" t="s">
        <v>654</v>
      </c>
      <c r="B473" s="35">
        <f t="shared" si="21"/>
        <v>392.1225</v>
      </c>
      <c r="C473" s="35">
        <f>385*(100-C$2)/100</f>
        <v>404.25</v>
      </c>
      <c r="D473" s="35">
        <f t="shared" si="22"/>
        <v>444.67500000000001</v>
      </c>
      <c r="E473" s="35">
        <f t="shared" si="23"/>
        <v>464.88749999999999</v>
      </c>
    </row>
    <row r="474" spans="1:5" ht="15" customHeight="1" outlineLevel="1" x14ac:dyDescent="0.25">
      <c r="A474" s="9" t="s">
        <v>655</v>
      </c>
      <c r="B474" s="35">
        <f t="shared" si="21"/>
        <v>423.69600000000003</v>
      </c>
      <c r="C474" s="35">
        <f>416*(100-C$2)/100</f>
        <v>436.8</v>
      </c>
      <c r="D474" s="35">
        <f t="shared" si="22"/>
        <v>480.48000000000008</v>
      </c>
      <c r="E474" s="35">
        <f t="shared" si="23"/>
        <v>502.32</v>
      </c>
    </row>
    <row r="475" spans="1:5" ht="15" customHeight="1" outlineLevel="1" x14ac:dyDescent="0.25">
      <c r="A475" s="9" t="s">
        <v>656</v>
      </c>
      <c r="B475" s="35">
        <f t="shared" si="21"/>
        <v>432.86250000000001</v>
      </c>
      <c r="C475" s="35">
        <f>425*(100-C$2)/100</f>
        <v>446.25</v>
      </c>
      <c r="D475" s="35">
        <f t="shared" si="22"/>
        <v>490.87500000000006</v>
      </c>
      <c r="E475" s="35">
        <f t="shared" si="23"/>
        <v>513.1875</v>
      </c>
    </row>
    <row r="476" spans="1:5" ht="15" customHeight="1" outlineLevel="1" x14ac:dyDescent="0.25">
      <c r="A476" s="9" t="s">
        <v>657</v>
      </c>
      <c r="B476" s="35">
        <f t="shared" si="21"/>
        <v>358.512</v>
      </c>
      <c r="C476" s="35">
        <f>352*(100-C$2)/100</f>
        <v>369.6</v>
      </c>
      <c r="D476" s="35">
        <f t="shared" si="22"/>
        <v>406.56000000000006</v>
      </c>
      <c r="E476" s="35">
        <f t="shared" si="23"/>
        <v>425.04</v>
      </c>
    </row>
    <row r="477" spans="1:5" ht="15" customHeight="1" outlineLevel="1" x14ac:dyDescent="0.25">
      <c r="A477" s="9" t="s">
        <v>658</v>
      </c>
      <c r="B477" s="35">
        <f t="shared" si="21"/>
        <v>369.71549999999996</v>
      </c>
      <c r="C477" s="35">
        <f>363*(100-C$2)/100</f>
        <v>381.15</v>
      </c>
      <c r="D477" s="35">
        <f t="shared" si="22"/>
        <v>419.26499999999999</v>
      </c>
      <c r="E477" s="35">
        <f t="shared" si="23"/>
        <v>438.32249999999993</v>
      </c>
    </row>
    <row r="478" spans="1:5" ht="15" customHeight="1" outlineLevel="1" x14ac:dyDescent="0.25">
      <c r="A478" s="9" t="s">
        <v>659</v>
      </c>
      <c r="B478" s="35">
        <f t="shared" si="21"/>
        <v>367.67849999999999</v>
      </c>
      <c r="C478" s="35">
        <f>361*(100-C$2)/100</f>
        <v>379.05</v>
      </c>
      <c r="D478" s="35">
        <f t="shared" si="22"/>
        <v>416.95500000000004</v>
      </c>
      <c r="E478" s="35">
        <f t="shared" si="23"/>
        <v>435.90749999999997</v>
      </c>
    </row>
    <row r="479" spans="1:5" ht="15" customHeight="1" outlineLevel="1" x14ac:dyDescent="0.25">
      <c r="A479" s="9" t="s">
        <v>660</v>
      </c>
      <c r="B479" s="35">
        <f t="shared" si="21"/>
        <v>382.95600000000002</v>
      </c>
      <c r="C479" s="35">
        <f>376*(100-C$2)/100</f>
        <v>394.8</v>
      </c>
      <c r="D479" s="35">
        <f t="shared" si="22"/>
        <v>434.28000000000003</v>
      </c>
      <c r="E479" s="35">
        <f t="shared" si="23"/>
        <v>454.02</v>
      </c>
    </row>
    <row r="480" spans="1:5" ht="15" customHeight="1" outlineLevel="1" x14ac:dyDescent="0.25">
      <c r="A480" s="9" t="s">
        <v>661</v>
      </c>
      <c r="B480" s="35">
        <f t="shared" si="21"/>
        <v>391.10399999999998</v>
      </c>
      <c r="C480" s="35">
        <f>384*(100-C$2)/100</f>
        <v>403.2</v>
      </c>
      <c r="D480" s="35">
        <f t="shared" si="22"/>
        <v>443.52000000000004</v>
      </c>
      <c r="E480" s="35">
        <f t="shared" si="23"/>
        <v>463.67999999999995</v>
      </c>
    </row>
    <row r="481" spans="1:5" ht="15" customHeight="1" outlineLevel="1" x14ac:dyDescent="0.25">
      <c r="A481" s="9" t="s">
        <v>662</v>
      </c>
      <c r="B481" s="35">
        <f t="shared" si="21"/>
        <v>389.06700000000001</v>
      </c>
      <c r="C481" s="35">
        <f>382*(100-C$2)/100</f>
        <v>401.1</v>
      </c>
      <c r="D481" s="35">
        <f t="shared" si="22"/>
        <v>441.21000000000004</v>
      </c>
      <c r="E481" s="35">
        <f t="shared" si="23"/>
        <v>461.26499999999999</v>
      </c>
    </row>
    <row r="482" spans="1:5" ht="15" customHeight="1" outlineLevel="1" x14ac:dyDescent="0.25">
      <c r="A482" s="9" t="s">
        <v>663</v>
      </c>
      <c r="B482" s="35">
        <f t="shared" si="21"/>
        <v>398.23349999999999</v>
      </c>
      <c r="C482" s="35">
        <f>391*(100-C$2)/100</f>
        <v>410.55</v>
      </c>
      <c r="D482" s="35">
        <f t="shared" si="22"/>
        <v>451.60500000000008</v>
      </c>
      <c r="E482" s="35">
        <f t="shared" si="23"/>
        <v>472.13249999999999</v>
      </c>
    </row>
    <row r="483" spans="1:5" ht="15" customHeight="1" outlineLevel="1" x14ac:dyDescent="0.25">
      <c r="A483" s="9" t="s">
        <v>664</v>
      </c>
      <c r="B483" s="35">
        <f t="shared" si="21"/>
        <v>402.3075</v>
      </c>
      <c r="C483" s="35">
        <f>395*(100-C$2)/100</f>
        <v>414.75</v>
      </c>
      <c r="D483" s="35">
        <f t="shared" si="22"/>
        <v>456.22500000000002</v>
      </c>
      <c r="E483" s="35">
        <f t="shared" si="23"/>
        <v>476.96249999999998</v>
      </c>
    </row>
    <row r="484" spans="1:5" ht="15" customHeight="1" outlineLevel="1" x14ac:dyDescent="0.25">
      <c r="A484" s="9" t="s">
        <v>665</v>
      </c>
      <c r="B484" s="35">
        <f t="shared" si="21"/>
        <v>407.4</v>
      </c>
      <c r="C484" s="35">
        <f>400*(100-C$2)/100</f>
        <v>420</v>
      </c>
      <c r="D484" s="35">
        <f t="shared" si="22"/>
        <v>462.00000000000006</v>
      </c>
      <c r="E484" s="35">
        <f t="shared" si="23"/>
        <v>482.99999999999994</v>
      </c>
    </row>
    <row r="485" spans="1:5" ht="15" customHeight="1" outlineLevel="1" x14ac:dyDescent="0.25">
      <c r="A485" s="9" t="s">
        <v>666</v>
      </c>
      <c r="B485" s="35">
        <f t="shared" si="21"/>
        <v>408.41849999999999</v>
      </c>
      <c r="C485" s="35">
        <f>401*(100-C$2)/100</f>
        <v>421.05</v>
      </c>
      <c r="D485" s="35">
        <f t="shared" si="22"/>
        <v>463.15500000000003</v>
      </c>
      <c r="E485" s="35">
        <f t="shared" si="23"/>
        <v>484.20749999999998</v>
      </c>
    </row>
    <row r="486" spans="1:5" ht="15" customHeight="1" outlineLevel="1" x14ac:dyDescent="0.25">
      <c r="A486" s="9" t="s">
        <v>667</v>
      </c>
      <c r="B486" s="35">
        <f t="shared" si="21"/>
        <v>409.43700000000001</v>
      </c>
      <c r="C486" s="35">
        <f>402*(100-C$2)/100</f>
        <v>422.1</v>
      </c>
      <c r="D486" s="35">
        <f t="shared" si="22"/>
        <v>464.31000000000006</v>
      </c>
      <c r="E486" s="35">
        <f t="shared" si="23"/>
        <v>485.41499999999996</v>
      </c>
    </row>
    <row r="487" spans="1:5" ht="15" customHeight="1" outlineLevel="1" x14ac:dyDescent="0.25">
      <c r="A487" s="9" t="s">
        <v>668</v>
      </c>
      <c r="B487" s="35">
        <f t="shared" si="21"/>
        <v>423.69600000000003</v>
      </c>
      <c r="C487" s="35">
        <f>416*(100-C$2)/100</f>
        <v>436.8</v>
      </c>
      <c r="D487" s="35">
        <f t="shared" si="22"/>
        <v>480.48000000000008</v>
      </c>
      <c r="E487" s="35">
        <f t="shared" si="23"/>
        <v>502.32</v>
      </c>
    </row>
    <row r="488" spans="1:5" ht="15" customHeight="1" outlineLevel="1" x14ac:dyDescent="0.25">
      <c r="A488" s="9" t="s">
        <v>669</v>
      </c>
      <c r="B488" s="35">
        <f t="shared" si="21"/>
        <v>425.73299999999995</v>
      </c>
      <c r="C488" s="35">
        <f>418*(100-C$2)/100</f>
        <v>438.9</v>
      </c>
      <c r="D488" s="35">
        <f t="shared" si="22"/>
        <v>482.79</v>
      </c>
      <c r="E488" s="35">
        <f t="shared" si="23"/>
        <v>504.73499999999996</v>
      </c>
    </row>
    <row r="489" spans="1:5" ht="15" customHeight="1" outlineLevel="1" x14ac:dyDescent="0.25">
      <c r="A489" s="9" t="s">
        <v>670</v>
      </c>
      <c r="B489" s="35">
        <f t="shared" si="21"/>
        <v>367.67849999999999</v>
      </c>
      <c r="C489" s="35">
        <f>361*(100-C$2)/100</f>
        <v>379.05</v>
      </c>
      <c r="D489" s="35">
        <f t="shared" si="22"/>
        <v>416.95500000000004</v>
      </c>
      <c r="E489" s="35">
        <f t="shared" si="23"/>
        <v>435.90749999999997</v>
      </c>
    </row>
    <row r="490" spans="1:5" ht="15" customHeight="1" outlineLevel="1" x14ac:dyDescent="0.25">
      <c r="A490" s="9" t="s">
        <v>671</v>
      </c>
      <c r="B490" s="35">
        <f t="shared" si="21"/>
        <v>376.84499999999997</v>
      </c>
      <c r="C490" s="35">
        <f>370*(100-C$2)/100</f>
        <v>388.5</v>
      </c>
      <c r="D490" s="35">
        <f t="shared" si="22"/>
        <v>427.35</v>
      </c>
      <c r="E490" s="35">
        <f t="shared" si="23"/>
        <v>446.77499999999998</v>
      </c>
    </row>
    <row r="491" spans="1:5" ht="15" customHeight="1" outlineLevel="1" x14ac:dyDescent="0.25">
      <c r="A491" s="9" t="s">
        <v>672</v>
      </c>
      <c r="B491" s="35">
        <f t="shared" si="21"/>
        <v>390.08549999999997</v>
      </c>
      <c r="C491" s="35">
        <f>383*(100-C$2)/100</f>
        <v>402.15</v>
      </c>
      <c r="D491" s="35">
        <f t="shared" si="22"/>
        <v>442.36500000000001</v>
      </c>
      <c r="E491" s="35">
        <f t="shared" si="23"/>
        <v>462.47249999999991</v>
      </c>
    </row>
    <row r="492" spans="1:5" ht="15" customHeight="1" outlineLevel="1" x14ac:dyDescent="0.25">
      <c r="A492" s="9" t="s">
        <v>673</v>
      </c>
      <c r="B492" s="35">
        <f t="shared" si="21"/>
        <v>398.23349999999999</v>
      </c>
      <c r="C492" s="35">
        <f>391*(100-C$2)/100</f>
        <v>410.55</v>
      </c>
      <c r="D492" s="35">
        <f t="shared" si="22"/>
        <v>451.60500000000008</v>
      </c>
      <c r="E492" s="35">
        <f t="shared" si="23"/>
        <v>472.13249999999999</v>
      </c>
    </row>
    <row r="493" spans="1:5" ht="15" customHeight="1" outlineLevel="1" x14ac:dyDescent="0.25">
      <c r="A493" s="9" t="s">
        <v>674</v>
      </c>
      <c r="B493" s="35">
        <f t="shared" si="21"/>
        <v>402.3075</v>
      </c>
      <c r="C493" s="35">
        <f>395*(100-C$2)/100</f>
        <v>414.75</v>
      </c>
      <c r="D493" s="35">
        <f t="shared" si="22"/>
        <v>456.22500000000002</v>
      </c>
      <c r="E493" s="35">
        <f t="shared" si="23"/>
        <v>476.96249999999998</v>
      </c>
    </row>
    <row r="494" spans="1:5" ht="15" customHeight="1" outlineLevel="1" x14ac:dyDescent="0.25">
      <c r="A494" s="9" t="s">
        <v>675</v>
      </c>
      <c r="B494" s="35">
        <f t="shared" si="21"/>
        <v>390.08549999999997</v>
      </c>
      <c r="C494" s="35">
        <f>383*(100-C$2)/100</f>
        <v>402.15</v>
      </c>
      <c r="D494" s="35">
        <f t="shared" si="22"/>
        <v>442.36500000000001</v>
      </c>
      <c r="E494" s="35">
        <f t="shared" si="23"/>
        <v>462.47249999999991</v>
      </c>
    </row>
    <row r="495" spans="1:5" ht="15" customHeight="1" outlineLevel="1" x14ac:dyDescent="0.25">
      <c r="A495" s="9" t="s">
        <v>676</v>
      </c>
      <c r="B495" s="35">
        <f t="shared" si="21"/>
        <v>412.49250000000001</v>
      </c>
      <c r="C495" s="35">
        <f>405*(100-C$2)/100</f>
        <v>425.25</v>
      </c>
      <c r="D495" s="35">
        <f t="shared" si="22"/>
        <v>467.77500000000003</v>
      </c>
      <c r="E495" s="35">
        <f t="shared" si="23"/>
        <v>489.03749999999997</v>
      </c>
    </row>
    <row r="496" spans="1:5" ht="15" customHeight="1" outlineLevel="1" x14ac:dyDescent="0.25">
      <c r="A496" s="9" t="s">
        <v>677</v>
      </c>
      <c r="B496" s="35">
        <f t="shared" si="21"/>
        <v>404.34450000000004</v>
      </c>
      <c r="C496" s="35">
        <f>397*(100-C$2)/100</f>
        <v>416.85</v>
      </c>
      <c r="D496" s="35">
        <f t="shared" si="22"/>
        <v>458.53500000000008</v>
      </c>
      <c r="E496" s="35">
        <f t="shared" si="23"/>
        <v>479.3775</v>
      </c>
    </row>
    <row r="497" spans="1:5" ht="15" customHeight="1" outlineLevel="1" x14ac:dyDescent="0.25">
      <c r="A497" s="9" t="s">
        <v>678</v>
      </c>
      <c r="B497" s="35">
        <f t="shared" si="21"/>
        <v>419.62200000000001</v>
      </c>
      <c r="C497" s="35">
        <f>412*(100-C$2)/100</f>
        <v>432.6</v>
      </c>
      <c r="D497" s="35">
        <f t="shared" si="22"/>
        <v>475.86000000000007</v>
      </c>
      <c r="E497" s="35">
        <f t="shared" si="23"/>
        <v>497.49</v>
      </c>
    </row>
    <row r="498" spans="1:5" ht="15" customHeight="1" outlineLevel="1" x14ac:dyDescent="0.25">
      <c r="A498" s="9" t="s">
        <v>679</v>
      </c>
      <c r="B498" s="35">
        <f t="shared" si="21"/>
        <v>422.67750000000001</v>
      </c>
      <c r="C498" s="35">
        <f>415*(100-C$2)/100</f>
        <v>435.75</v>
      </c>
      <c r="D498" s="35">
        <f t="shared" si="22"/>
        <v>479.32500000000005</v>
      </c>
      <c r="E498" s="35">
        <f t="shared" si="23"/>
        <v>501.11249999999995</v>
      </c>
    </row>
    <row r="499" spans="1:5" ht="15" customHeight="1" outlineLevel="1" x14ac:dyDescent="0.25">
      <c r="A499" s="9" t="s">
        <v>680</v>
      </c>
      <c r="B499" s="35">
        <f t="shared" si="21"/>
        <v>423.69600000000003</v>
      </c>
      <c r="C499" s="35">
        <f>416*(100-C$2)/100</f>
        <v>436.8</v>
      </c>
      <c r="D499" s="35">
        <f t="shared" si="22"/>
        <v>480.48000000000008</v>
      </c>
      <c r="E499" s="35">
        <f t="shared" si="23"/>
        <v>502.32</v>
      </c>
    </row>
    <row r="500" spans="1:5" ht="20.100000000000001" customHeight="1" outlineLevel="1" x14ac:dyDescent="0.25">
      <c r="A500" s="167" t="s">
        <v>942</v>
      </c>
      <c r="B500" s="168"/>
      <c r="C500" s="168"/>
      <c r="D500" s="168"/>
      <c r="E500" s="169"/>
    </row>
    <row r="501" spans="1:5" ht="15" customHeight="1" outlineLevel="1" x14ac:dyDescent="0.25">
      <c r="A501" s="9" t="s">
        <v>681</v>
      </c>
      <c r="B501" s="35">
        <f t="shared" si="21"/>
        <v>181.29300000000001</v>
      </c>
      <c r="C501" s="35">
        <f>178*(100-C$2)/100</f>
        <v>186.9</v>
      </c>
      <c r="D501" s="35">
        <f t="shared" si="22"/>
        <v>205.59000000000003</v>
      </c>
      <c r="E501" s="35">
        <f t="shared" si="23"/>
        <v>214.935</v>
      </c>
    </row>
    <row r="502" spans="1:5" ht="15" customHeight="1" outlineLevel="1" x14ac:dyDescent="0.25">
      <c r="A502" s="9" t="s">
        <v>682</v>
      </c>
      <c r="B502" s="35">
        <f t="shared" si="21"/>
        <v>183.32999999999998</v>
      </c>
      <c r="C502" s="35">
        <f>180*(100-C$2)/100</f>
        <v>189</v>
      </c>
      <c r="D502" s="35">
        <f t="shared" si="22"/>
        <v>207.9</v>
      </c>
      <c r="E502" s="35">
        <f t="shared" si="23"/>
        <v>217.35</v>
      </c>
    </row>
    <row r="503" spans="1:5" ht="15" customHeight="1" outlineLevel="1" x14ac:dyDescent="0.25">
      <c r="A503" s="9" t="s">
        <v>683</v>
      </c>
      <c r="B503" s="35">
        <f t="shared" si="21"/>
        <v>186.38550000000001</v>
      </c>
      <c r="C503" s="35">
        <f>183*(100-C$2)/100</f>
        <v>192.15</v>
      </c>
      <c r="D503" s="35">
        <f t="shared" si="22"/>
        <v>211.36500000000004</v>
      </c>
      <c r="E503" s="35">
        <f t="shared" si="23"/>
        <v>220.9725</v>
      </c>
    </row>
    <row r="504" spans="1:5" ht="15" customHeight="1" outlineLevel="1" x14ac:dyDescent="0.25">
      <c r="A504" s="9" t="s">
        <v>684</v>
      </c>
      <c r="B504" s="35">
        <f t="shared" si="21"/>
        <v>183.32999999999998</v>
      </c>
      <c r="C504" s="35">
        <f>180*(100-C$2)/100</f>
        <v>189</v>
      </c>
      <c r="D504" s="35">
        <f t="shared" si="22"/>
        <v>207.9</v>
      </c>
      <c r="E504" s="35">
        <f t="shared" si="23"/>
        <v>217.35</v>
      </c>
    </row>
    <row r="505" spans="1:5" ht="15" customHeight="1" outlineLevel="1" x14ac:dyDescent="0.25">
      <c r="A505" s="9" t="s">
        <v>685</v>
      </c>
      <c r="B505" s="35">
        <f t="shared" si="21"/>
        <v>193.51499999999999</v>
      </c>
      <c r="C505" s="35">
        <f>190*(100-C$2)/100</f>
        <v>199.5</v>
      </c>
      <c r="D505" s="35">
        <f t="shared" si="22"/>
        <v>219.45000000000002</v>
      </c>
      <c r="E505" s="35">
        <f t="shared" si="23"/>
        <v>229.42499999999998</v>
      </c>
    </row>
    <row r="506" spans="1:5" ht="15" customHeight="1" outlineLevel="1" x14ac:dyDescent="0.25">
      <c r="A506" s="9" t="s">
        <v>686</v>
      </c>
      <c r="B506" s="35">
        <f t="shared" si="21"/>
        <v>207.77399999999997</v>
      </c>
      <c r="C506" s="35">
        <f>204*(100-C$2)/100</f>
        <v>214.2</v>
      </c>
      <c r="D506" s="35">
        <f t="shared" si="22"/>
        <v>235.62</v>
      </c>
      <c r="E506" s="35">
        <f t="shared" si="23"/>
        <v>246.32999999999996</v>
      </c>
    </row>
    <row r="507" spans="1:5" ht="15" customHeight="1" outlineLevel="1" x14ac:dyDescent="0.25">
      <c r="A507" s="9" t="s">
        <v>687</v>
      </c>
      <c r="B507" s="35">
        <f t="shared" si="21"/>
        <v>213.88499999999999</v>
      </c>
      <c r="C507" s="35">
        <f>210*(100-C$2)/100</f>
        <v>220.5</v>
      </c>
      <c r="D507" s="35">
        <f t="shared" si="22"/>
        <v>242.55</v>
      </c>
      <c r="E507" s="35">
        <f t="shared" si="23"/>
        <v>253.57499999999999</v>
      </c>
    </row>
    <row r="508" spans="1:5" ht="15" customHeight="1" outlineLevel="1" x14ac:dyDescent="0.25">
      <c r="A508" s="9" t="s">
        <v>688</v>
      </c>
      <c r="B508" s="35">
        <f t="shared" si="21"/>
        <v>196.57050000000001</v>
      </c>
      <c r="C508" s="35">
        <f>193*(100-C$2)/100</f>
        <v>202.65</v>
      </c>
      <c r="D508" s="35">
        <f t="shared" si="22"/>
        <v>222.91500000000002</v>
      </c>
      <c r="E508" s="35">
        <f t="shared" si="23"/>
        <v>233.04749999999999</v>
      </c>
    </row>
    <row r="509" spans="1:5" ht="15" customHeight="1" outlineLevel="1" x14ac:dyDescent="0.25">
      <c r="A509" s="9" t="s">
        <v>689</v>
      </c>
      <c r="B509" s="35">
        <f t="shared" si="21"/>
        <v>194.5335</v>
      </c>
      <c r="C509" s="35">
        <f>191*(100-C$2)/100</f>
        <v>200.55</v>
      </c>
      <c r="D509" s="35">
        <f t="shared" si="22"/>
        <v>220.60500000000002</v>
      </c>
      <c r="E509" s="35">
        <f t="shared" si="23"/>
        <v>230.63249999999999</v>
      </c>
    </row>
    <row r="510" spans="1:5" ht="15" customHeight="1" outlineLevel="1" x14ac:dyDescent="0.25">
      <c r="A510" s="9" t="s">
        <v>690</v>
      </c>
      <c r="B510" s="35">
        <f t="shared" si="21"/>
        <v>203.7</v>
      </c>
      <c r="C510" s="35">
        <f>200*(100-C$2)/100</f>
        <v>210</v>
      </c>
      <c r="D510" s="35">
        <f t="shared" si="22"/>
        <v>231.00000000000003</v>
      </c>
      <c r="E510" s="35">
        <f t="shared" si="23"/>
        <v>241.49999999999997</v>
      </c>
    </row>
    <row r="511" spans="1:5" ht="15" customHeight="1" outlineLevel="1" x14ac:dyDescent="0.25">
      <c r="A511" s="9" t="s">
        <v>691</v>
      </c>
      <c r="B511" s="35">
        <f t="shared" ref="B511:B572" si="24">C511*0.97</f>
        <v>203.7</v>
      </c>
      <c r="C511" s="35">
        <f>200*(100-C$2)/100</f>
        <v>210</v>
      </c>
      <c r="D511" s="35">
        <f t="shared" ref="D511:D572" si="25">C511*1.1</f>
        <v>231.00000000000003</v>
      </c>
      <c r="E511" s="35">
        <f t="shared" ref="E511:E572" si="26">C511*1.15</f>
        <v>241.49999999999997</v>
      </c>
    </row>
    <row r="512" spans="1:5" ht="15" customHeight="1" outlineLevel="1" x14ac:dyDescent="0.25">
      <c r="A512" s="9" t="s">
        <v>692</v>
      </c>
      <c r="B512" s="35">
        <f t="shared" si="24"/>
        <v>209.81100000000001</v>
      </c>
      <c r="C512" s="35">
        <f>206*(100-C$2)/100</f>
        <v>216.3</v>
      </c>
      <c r="D512" s="35">
        <f t="shared" si="25"/>
        <v>237.93000000000004</v>
      </c>
      <c r="E512" s="35">
        <f t="shared" si="26"/>
        <v>248.745</v>
      </c>
    </row>
    <row r="513" spans="1:5" ht="15" customHeight="1" outlineLevel="1" x14ac:dyDescent="0.25">
      <c r="A513" s="9" t="s">
        <v>693</v>
      </c>
      <c r="B513" s="35">
        <f t="shared" si="24"/>
        <v>262.77299999999997</v>
      </c>
      <c r="C513" s="35">
        <f>258*(100-C$2)/100</f>
        <v>270.89999999999998</v>
      </c>
      <c r="D513" s="35">
        <f t="shared" si="25"/>
        <v>297.99</v>
      </c>
      <c r="E513" s="35">
        <f t="shared" si="26"/>
        <v>311.53499999999997</v>
      </c>
    </row>
    <row r="514" spans="1:5" ht="15" customHeight="1" outlineLevel="1" x14ac:dyDescent="0.25">
      <c r="A514" s="9" t="s">
        <v>694</v>
      </c>
      <c r="B514" s="35">
        <f t="shared" si="24"/>
        <v>272.95799999999997</v>
      </c>
      <c r="C514" s="35">
        <f>268*(100-C$2)/100</f>
        <v>281.39999999999998</v>
      </c>
      <c r="D514" s="35">
        <f t="shared" si="25"/>
        <v>309.54000000000002</v>
      </c>
      <c r="E514" s="35">
        <f t="shared" si="26"/>
        <v>323.60999999999996</v>
      </c>
    </row>
    <row r="515" spans="1:5" ht="20.100000000000001" customHeight="1" outlineLevel="1" x14ac:dyDescent="0.25">
      <c r="A515" s="167" t="s">
        <v>943</v>
      </c>
      <c r="B515" s="168"/>
      <c r="C515" s="168"/>
      <c r="D515" s="168"/>
      <c r="E515" s="169"/>
    </row>
    <row r="516" spans="1:5" ht="15" customHeight="1" outlineLevel="1" x14ac:dyDescent="0.25">
      <c r="A516" s="9" t="s">
        <v>695</v>
      </c>
      <c r="B516" s="35">
        <f t="shared" si="24"/>
        <v>349.34549999999996</v>
      </c>
      <c r="C516" s="35">
        <f>343*(100-C$2)/100</f>
        <v>360.15</v>
      </c>
      <c r="D516" s="35">
        <f t="shared" si="25"/>
        <v>396.16500000000002</v>
      </c>
      <c r="E516" s="35">
        <f t="shared" si="26"/>
        <v>414.17249999999996</v>
      </c>
    </row>
    <row r="517" spans="1:5" ht="15" customHeight="1" outlineLevel="1" x14ac:dyDescent="0.25">
      <c r="A517" s="9" t="s">
        <v>696</v>
      </c>
      <c r="B517" s="35">
        <f t="shared" si="24"/>
        <v>355.45650000000001</v>
      </c>
      <c r="C517" s="35">
        <f>349*(100-C$2)/100</f>
        <v>366.45</v>
      </c>
      <c r="D517" s="35">
        <f t="shared" si="25"/>
        <v>403.09500000000003</v>
      </c>
      <c r="E517" s="35">
        <f t="shared" si="26"/>
        <v>421.41749999999996</v>
      </c>
    </row>
    <row r="518" spans="1:5" ht="15" customHeight="1" outlineLevel="1" x14ac:dyDescent="0.25">
      <c r="A518" s="9" t="s">
        <v>697</v>
      </c>
      <c r="B518" s="35">
        <f t="shared" si="24"/>
        <v>356.47499999999997</v>
      </c>
      <c r="C518" s="35">
        <f>350*(100-C$2)/100</f>
        <v>367.5</v>
      </c>
      <c r="D518" s="35">
        <f t="shared" si="25"/>
        <v>404.25000000000006</v>
      </c>
      <c r="E518" s="35">
        <f t="shared" si="26"/>
        <v>422.62499999999994</v>
      </c>
    </row>
    <row r="519" spans="1:5" ht="15" customHeight="1" outlineLevel="1" x14ac:dyDescent="0.25">
      <c r="A519" s="9" t="s">
        <v>698</v>
      </c>
      <c r="B519" s="35">
        <f t="shared" si="24"/>
        <v>362.58600000000001</v>
      </c>
      <c r="C519" s="35">
        <f>356*(100-C$2)/100</f>
        <v>373.8</v>
      </c>
      <c r="D519" s="35">
        <f t="shared" si="25"/>
        <v>411.18000000000006</v>
      </c>
      <c r="E519" s="35">
        <f t="shared" si="26"/>
        <v>429.87</v>
      </c>
    </row>
    <row r="520" spans="1:5" ht="15" customHeight="1" outlineLevel="1" x14ac:dyDescent="0.25">
      <c r="A520" s="9" t="s">
        <v>699</v>
      </c>
      <c r="B520" s="35">
        <f t="shared" si="24"/>
        <v>372.77100000000002</v>
      </c>
      <c r="C520" s="35">
        <f>366*(100-C$2)/100</f>
        <v>384.3</v>
      </c>
      <c r="D520" s="35">
        <f t="shared" si="25"/>
        <v>422.73000000000008</v>
      </c>
      <c r="E520" s="35">
        <f t="shared" si="26"/>
        <v>441.94499999999999</v>
      </c>
    </row>
    <row r="521" spans="1:5" ht="15" customHeight="1" outlineLevel="1" x14ac:dyDescent="0.25">
      <c r="A521" s="9" t="s">
        <v>700</v>
      </c>
      <c r="B521" s="35">
        <f t="shared" si="24"/>
        <v>374.80799999999999</v>
      </c>
      <c r="C521" s="35">
        <f>368*(100-C$2)/100</f>
        <v>386.4</v>
      </c>
      <c r="D521" s="35">
        <f t="shared" si="25"/>
        <v>425.04</v>
      </c>
      <c r="E521" s="35">
        <f t="shared" si="26"/>
        <v>444.35999999999996</v>
      </c>
    </row>
    <row r="522" spans="1:5" ht="15" customHeight="1" outlineLevel="1" x14ac:dyDescent="0.25">
      <c r="A522" s="9" t="s">
        <v>701</v>
      </c>
      <c r="B522" s="35">
        <f t="shared" si="24"/>
        <v>376.84499999999997</v>
      </c>
      <c r="C522" s="35">
        <f>370*(100-C$2)/100</f>
        <v>388.5</v>
      </c>
      <c r="D522" s="35">
        <f t="shared" si="25"/>
        <v>427.35</v>
      </c>
      <c r="E522" s="35">
        <f t="shared" si="26"/>
        <v>446.77499999999998</v>
      </c>
    </row>
    <row r="523" spans="1:5" ht="15" customHeight="1" outlineLevel="1" x14ac:dyDescent="0.25">
      <c r="A523" s="9" t="s">
        <v>702</v>
      </c>
      <c r="B523" s="35">
        <f t="shared" si="24"/>
        <v>391.10399999999998</v>
      </c>
      <c r="C523" s="35">
        <f>384*(100-C$2)/100</f>
        <v>403.2</v>
      </c>
      <c r="D523" s="35">
        <f t="shared" si="25"/>
        <v>443.52000000000004</v>
      </c>
      <c r="E523" s="35">
        <f t="shared" si="26"/>
        <v>463.67999999999995</v>
      </c>
    </row>
    <row r="524" spans="1:5" ht="15" customHeight="1" outlineLevel="1" x14ac:dyDescent="0.25">
      <c r="A524" s="9" t="s">
        <v>703</v>
      </c>
      <c r="B524" s="35">
        <f t="shared" si="24"/>
        <v>381.9375</v>
      </c>
      <c r="C524" s="35">
        <f>375*(100-C$2)/100</f>
        <v>393.75</v>
      </c>
      <c r="D524" s="35">
        <f t="shared" si="25"/>
        <v>433.12500000000006</v>
      </c>
      <c r="E524" s="35">
        <f t="shared" si="26"/>
        <v>452.81249999999994</v>
      </c>
    </row>
    <row r="525" spans="1:5" ht="15" customHeight="1" outlineLevel="1" x14ac:dyDescent="0.25">
      <c r="A525" s="9" t="s">
        <v>704</v>
      </c>
      <c r="B525" s="35">
        <f t="shared" si="24"/>
        <v>402.3075</v>
      </c>
      <c r="C525" s="35">
        <f>395*(100-C$2)/100</f>
        <v>414.75</v>
      </c>
      <c r="D525" s="35">
        <f t="shared" si="25"/>
        <v>456.22500000000002</v>
      </c>
      <c r="E525" s="35">
        <f t="shared" si="26"/>
        <v>476.96249999999998</v>
      </c>
    </row>
    <row r="526" spans="1:5" ht="15" customHeight="1" outlineLevel="1" x14ac:dyDescent="0.25">
      <c r="A526" s="9" t="s">
        <v>705</v>
      </c>
      <c r="B526" s="35">
        <f t="shared" si="24"/>
        <v>397.21499999999997</v>
      </c>
      <c r="C526" s="35">
        <f>390*(100-C$2)/100</f>
        <v>409.5</v>
      </c>
      <c r="D526" s="35">
        <f t="shared" si="25"/>
        <v>450.45000000000005</v>
      </c>
      <c r="E526" s="35">
        <f t="shared" si="26"/>
        <v>470.92499999999995</v>
      </c>
    </row>
    <row r="527" spans="1:5" ht="15" customHeight="1" outlineLevel="1" x14ac:dyDescent="0.25">
      <c r="A527" s="9" t="s">
        <v>706</v>
      </c>
      <c r="B527" s="35">
        <f t="shared" si="24"/>
        <v>392.1225</v>
      </c>
      <c r="C527" s="35">
        <f>385*(100-C$2)/100</f>
        <v>404.25</v>
      </c>
      <c r="D527" s="35">
        <f t="shared" si="25"/>
        <v>444.67500000000001</v>
      </c>
      <c r="E527" s="35">
        <f t="shared" si="26"/>
        <v>464.88749999999999</v>
      </c>
    </row>
    <row r="528" spans="1:5" ht="15" customHeight="1" outlineLevel="1" x14ac:dyDescent="0.25">
      <c r="A528" s="9" t="s">
        <v>707</v>
      </c>
      <c r="B528" s="35">
        <f t="shared" si="24"/>
        <v>423.69600000000003</v>
      </c>
      <c r="C528" s="35">
        <f>416*(100-C$2)/100</f>
        <v>436.8</v>
      </c>
      <c r="D528" s="35">
        <f t="shared" si="25"/>
        <v>480.48000000000008</v>
      </c>
      <c r="E528" s="35">
        <f t="shared" si="26"/>
        <v>502.32</v>
      </c>
    </row>
    <row r="529" spans="1:5" ht="15" customHeight="1" outlineLevel="1" x14ac:dyDescent="0.25">
      <c r="A529" s="9" t="s">
        <v>708</v>
      </c>
      <c r="B529" s="35">
        <f t="shared" si="24"/>
        <v>432.86250000000001</v>
      </c>
      <c r="C529" s="35">
        <f>425*(100-C$2)/100</f>
        <v>446.25</v>
      </c>
      <c r="D529" s="35">
        <f t="shared" si="25"/>
        <v>490.87500000000006</v>
      </c>
      <c r="E529" s="35">
        <f t="shared" si="26"/>
        <v>513.1875</v>
      </c>
    </row>
    <row r="530" spans="1:5" ht="15" customHeight="1" outlineLevel="1" x14ac:dyDescent="0.25">
      <c r="A530" s="9" t="s">
        <v>709</v>
      </c>
      <c r="B530" s="35">
        <f t="shared" si="24"/>
        <v>358.512</v>
      </c>
      <c r="C530" s="35">
        <f>352*(100-C$2)/100</f>
        <v>369.6</v>
      </c>
      <c r="D530" s="35">
        <f t="shared" si="25"/>
        <v>406.56000000000006</v>
      </c>
      <c r="E530" s="35">
        <f t="shared" si="26"/>
        <v>425.04</v>
      </c>
    </row>
    <row r="531" spans="1:5" ht="15" customHeight="1" outlineLevel="1" x14ac:dyDescent="0.25">
      <c r="A531" s="9" t="s">
        <v>710</v>
      </c>
      <c r="B531" s="35">
        <f t="shared" si="24"/>
        <v>369.71549999999996</v>
      </c>
      <c r="C531" s="35">
        <f>363*(100-C$2)/100</f>
        <v>381.15</v>
      </c>
      <c r="D531" s="35">
        <f t="shared" si="25"/>
        <v>419.26499999999999</v>
      </c>
      <c r="E531" s="35">
        <f t="shared" si="26"/>
        <v>438.32249999999993</v>
      </c>
    </row>
    <row r="532" spans="1:5" ht="15" customHeight="1" outlineLevel="1" x14ac:dyDescent="0.25">
      <c r="A532" s="9" t="s">
        <v>711</v>
      </c>
      <c r="B532" s="35">
        <f t="shared" si="24"/>
        <v>367.67849999999999</v>
      </c>
      <c r="C532" s="35">
        <f>361*(100-C$2)/100</f>
        <v>379.05</v>
      </c>
      <c r="D532" s="35">
        <f t="shared" si="25"/>
        <v>416.95500000000004</v>
      </c>
      <c r="E532" s="35">
        <f t="shared" si="26"/>
        <v>435.90749999999997</v>
      </c>
    </row>
    <row r="533" spans="1:5" ht="15" customHeight="1" outlineLevel="1" x14ac:dyDescent="0.25">
      <c r="A533" s="9" t="s">
        <v>712</v>
      </c>
      <c r="B533" s="35">
        <f t="shared" si="24"/>
        <v>382.95600000000002</v>
      </c>
      <c r="C533" s="35">
        <f>376*(100-C$2)/100</f>
        <v>394.8</v>
      </c>
      <c r="D533" s="35">
        <f t="shared" si="25"/>
        <v>434.28000000000003</v>
      </c>
      <c r="E533" s="35">
        <f t="shared" si="26"/>
        <v>454.02</v>
      </c>
    </row>
    <row r="534" spans="1:5" ht="15" customHeight="1" outlineLevel="1" x14ac:dyDescent="0.25">
      <c r="A534" s="9" t="s">
        <v>713</v>
      </c>
      <c r="B534" s="35">
        <f t="shared" si="24"/>
        <v>391.10399999999998</v>
      </c>
      <c r="C534" s="35">
        <f>384*(100-C$2)/100</f>
        <v>403.2</v>
      </c>
      <c r="D534" s="35">
        <f t="shared" si="25"/>
        <v>443.52000000000004</v>
      </c>
      <c r="E534" s="35">
        <f t="shared" si="26"/>
        <v>463.67999999999995</v>
      </c>
    </row>
    <row r="535" spans="1:5" ht="15" customHeight="1" outlineLevel="1" x14ac:dyDescent="0.25">
      <c r="A535" s="9" t="s">
        <v>714</v>
      </c>
      <c r="B535" s="35">
        <f t="shared" si="24"/>
        <v>389.06700000000001</v>
      </c>
      <c r="C535" s="35">
        <f>382*(100-C$2)/100</f>
        <v>401.1</v>
      </c>
      <c r="D535" s="35">
        <f t="shared" si="25"/>
        <v>441.21000000000004</v>
      </c>
      <c r="E535" s="35">
        <f t="shared" si="26"/>
        <v>461.26499999999999</v>
      </c>
    </row>
    <row r="536" spans="1:5" ht="15" customHeight="1" outlineLevel="1" x14ac:dyDescent="0.25">
      <c r="A536" s="9" t="s">
        <v>715</v>
      </c>
      <c r="B536" s="35">
        <f t="shared" si="24"/>
        <v>398.23349999999999</v>
      </c>
      <c r="C536" s="35">
        <f>391*(100-C$2)/100</f>
        <v>410.55</v>
      </c>
      <c r="D536" s="35">
        <f t="shared" si="25"/>
        <v>451.60500000000008</v>
      </c>
      <c r="E536" s="35">
        <f t="shared" si="26"/>
        <v>472.13249999999999</v>
      </c>
    </row>
    <row r="537" spans="1:5" ht="15" customHeight="1" outlineLevel="1" x14ac:dyDescent="0.25">
      <c r="A537" s="9" t="s">
        <v>716</v>
      </c>
      <c r="B537" s="35">
        <f t="shared" si="24"/>
        <v>402.3075</v>
      </c>
      <c r="C537" s="35">
        <f>395*(100-C$2)/100</f>
        <v>414.75</v>
      </c>
      <c r="D537" s="35">
        <f t="shared" si="25"/>
        <v>456.22500000000002</v>
      </c>
      <c r="E537" s="35">
        <f t="shared" si="26"/>
        <v>476.96249999999998</v>
      </c>
    </row>
    <row r="538" spans="1:5" ht="15" customHeight="1" outlineLevel="1" x14ac:dyDescent="0.25">
      <c r="A538" s="9" t="s">
        <v>717</v>
      </c>
      <c r="B538" s="35">
        <f t="shared" si="24"/>
        <v>407.4</v>
      </c>
      <c r="C538" s="35">
        <f>400*(100-C$2)/100</f>
        <v>420</v>
      </c>
      <c r="D538" s="35">
        <f t="shared" si="25"/>
        <v>462.00000000000006</v>
      </c>
      <c r="E538" s="35">
        <f t="shared" si="26"/>
        <v>482.99999999999994</v>
      </c>
    </row>
    <row r="539" spans="1:5" ht="15" customHeight="1" outlineLevel="1" x14ac:dyDescent="0.25">
      <c r="A539" s="9" t="s">
        <v>718</v>
      </c>
      <c r="B539" s="35">
        <f t="shared" si="24"/>
        <v>408.41849999999999</v>
      </c>
      <c r="C539" s="35">
        <f>401*(100-C$2)/100</f>
        <v>421.05</v>
      </c>
      <c r="D539" s="35">
        <f t="shared" si="25"/>
        <v>463.15500000000003</v>
      </c>
      <c r="E539" s="35">
        <f t="shared" si="26"/>
        <v>484.20749999999998</v>
      </c>
    </row>
    <row r="540" spans="1:5" ht="15" customHeight="1" outlineLevel="1" x14ac:dyDescent="0.25">
      <c r="A540" s="9" t="s">
        <v>719</v>
      </c>
      <c r="B540" s="35">
        <f t="shared" si="24"/>
        <v>409.43700000000001</v>
      </c>
      <c r="C540" s="35">
        <f>402*(100-C$2)/100</f>
        <v>422.1</v>
      </c>
      <c r="D540" s="35">
        <f t="shared" si="25"/>
        <v>464.31000000000006</v>
      </c>
      <c r="E540" s="35">
        <f t="shared" si="26"/>
        <v>485.41499999999996</v>
      </c>
    </row>
    <row r="541" spans="1:5" ht="15" customHeight="1" outlineLevel="1" x14ac:dyDescent="0.25">
      <c r="A541" s="9" t="s">
        <v>720</v>
      </c>
      <c r="B541" s="35">
        <f t="shared" si="24"/>
        <v>423.69600000000003</v>
      </c>
      <c r="C541" s="35">
        <f>416*(100-C$2)/100</f>
        <v>436.8</v>
      </c>
      <c r="D541" s="35">
        <f t="shared" si="25"/>
        <v>480.48000000000008</v>
      </c>
      <c r="E541" s="35">
        <f t="shared" si="26"/>
        <v>502.32</v>
      </c>
    </row>
    <row r="542" spans="1:5" ht="15" customHeight="1" outlineLevel="1" x14ac:dyDescent="0.25">
      <c r="A542" s="9" t="s">
        <v>721</v>
      </c>
      <c r="B542" s="35">
        <f t="shared" si="24"/>
        <v>425.73299999999995</v>
      </c>
      <c r="C542" s="35">
        <f>418*(100-C$2)/100</f>
        <v>438.9</v>
      </c>
      <c r="D542" s="35">
        <f t="shared" si="25"/>
        <v>482.79</v>
      </c>
      <c r="E542" s="35">
        <f t="shared" si="26"/>
        <v>504.73499999999996</v>
      </c>
    </row>
    <row r="543" spans="1:5" ht="15" customHeight="1" outlineLevel="1" x14ac:dyDescent="0.25">
      <c r="A543" s="9" t="s">
        <v>722</v>
      </c>
      <c r="B543" s="35">
        <f t="shared" si="24"/>
        <v>367.67849999999999</v>
      </c>
      <c r="C543" s="35">
        <f>361*(100-C$2)/100</f>
        <v>379.05</v>
      </c>
      <c r="D543" s="35">
        <f t="shared" si="25"/>
        <v>416.95500000000004</v>
      </c>
      <c r="E543" s="35">
        <f t="shared" si="26"/>
        <v>435.90749999999997</v>
      </c>
    </row>
    <row r="544" spans="1:5" ht="15" customHeight="1" outlineLevel="1" x14ac:dyDescent="0.25">
      <c r="A544" s="9" t="s">
        <v>723</v>
      </c>
      <c r="B544" s="35">
        <f t="shared" si="24"/>
        <v>376.84499999999997</v>
      </c>
      <c r="C544" s="35">
        <f>370*(100-C$2)/100</f>
        <v>388.5</v>
      </c>
      <c r="D544" s="35">
        <f t="shared" si="25"/>
        <v>427.35</v>
      </c>
      <c r="E544" s="35">
        <f t="shared" si="26"/>
        <v>446.77499999999998</v>
      </c>
    </row>
    <row r="545" spans="1:5" ht="15" customHeight="1" outlineLevel="1" x14ac:dyDescent="0.25">
      <c r="A545" s="9" t="s">
        <v>724</v>
      </c>
      <c r="B545" s="35">
        <f t="shared" si="24"/>
        <v>390.08549999999997</v>
      </c>
      <c r="C545" s="35">
        <f>383*(100-C$2)/100</f>
        <v>402.15</v>
      </c>
      <c r="D545" s="35">
        <f t="shared" si="25"/>
        <v>442.36500000000001</v>
      </c>
      <c r="E545" s="35">
        <f t="shared" si="26"/>
        <v>462.47249999999991</v>
      </c>
    </row>
    <row r="546" spans="1:5" ht="15" customHeight="1" outlineLevel="1" x14ac:dyDescent="0.25">
      <c r="A546" s="9" t="s">
        <v>725</v>
      </c>
      <c r="B546" s="35">
        <f t="shared" si="24"/>
        <v>398.23349999999999</v>
      </c>
      <c r="C546" s="35">
        <f>391*(100-C$2)/100</f>
        <v>410.55</v>
      </c>
      <c r="D546" s="35">
        <f t="shared" si="25"/>
        <v>451.60500000000008</v>
      </c>
      <c r="E546" s="35">
        <f t="shared" si="26"/>
        <v>472.13249999999999</v>
      </c>
    </row>
    <row r="547" spans="1:5" ht="15" customHeight="1" outlineLevel="1" x14ac:dyDescent="0.25">
      <c r="A547" s="9" t="s">
        <v>726</v>
      </c>
      <c r="B547" s="35">
        <f t="shared" si="24"/>
        <v>402.3075</v>
      </c>
      <c r="C547" s="35">
        <f>395*(100-C$2)/100</f>
        <v>414.75</v>
      </c>
      <c r="D547" s="35">
        <f t="shared" si="25"/>
        <v>456.22500000000002</v>
      </c>
      <c r="E547" s="35">
        <f t="shared" si="26"/>
        <v>476.96249999999998</v>
      </c>
    </row>
    <row r="548" spans="1:5" ht="15" customHeight="1" outlineLevel="1" x14ac:dyDescent="0.25">
      <c r="A548" s="9" t="s">
        <v>727</v>
      </c>
      <c r="B548" s="35">
        <f t="shared" si="24"/>
        <v>390.08549999999997</v>
      </c>
      <c r="C548" s="35">
        <f>383*(100-C$2)/100</f>
        <v>402.15</v>
      </c>
      <c r="D548" s="35">
        <f t="shared" si="25"/>
        <v>442.36500000000001</v>
      </c>
      <c r="E548" s="35">
        <f t="shared" si="26"/>
        <v>462.47249999999991</v>
      </c>
    </row>
    <row r="549" spans="1:5" ht="15" customHeight="1" outlineLevel="1" x14ac:dyDescent="0.25">
      <c r="A549" s="9" t="s">
        <v>728</v>
      </c>
      <c r="B549" s="35">
        <f t="shared" si="24"/>
        <v>412.49250000000001</v>
      </c>
      <c r="C549" s="35">
        <f>405*(100-C$2)/100</f>
        <v>425.25</v>
      </c>
      <c r="D549" s="35">
        <f t="shared" si="25"/>
        <v>467.77500000000003</v>
      </c>
      <c r="E549" s="35">
        <f t="shared" si="26"/>
        <v>489.03749999999997</v>
      </c>
    </row>
    <row r="550" spans="1:5" ht="15" customHeight="1" outlineLevel="1" x14ac:dyDescent="0.25">
      <c r="A550" s="9" t="s">
        <v>729</v>
      </c>
      <c r="B550" s="35">
        <f t="shared" si="24"/>
        <v>404.34450000000004</v>
      </c>
      <c r="C550" s="35">
        <f>397*(100-C$2)/100</f>
        <v>416.85</v>
      </c>
      <c r="D550" s="35">
        <f t="shared" si="25"/>
        <v>458.53500000000008</v>
      </c>
      <c r="E550" s="35">
        <f t="shared" si="26"/>
        <v>479.3775</v>
      </c>
    </row>
    <row r="551" spans="1:5" ht="15" customHeight="1" outlineLevel="1" x14ac:dyDescent="0.25">
      <c r="A551" s="9" t="s">
        <v>730</v>
      </c>
      <c r="B551" s="35">
        <f t="shared" si="24"/>
        <v>419.62200000000001</v>
      </c>
      <c r="C551" s="35">
        <f>412*(100-C$2)/100</f>
        <v>432.6</v>
      </c>
      <c r="D551" s="35">
        <f t="shared" si="25"/>
        <v>475.86000000000007</v>
      </c>
      <c r="E551" s="35">
        <f t="shared" si="26"/>
        <v>497.49</v>
      </c>
    </row>
    <row r="552" spans="1:5" ht="15" customHeight="1" outlineLevel="1" x14ac:dyDescent="0.25">
      <c r="A552" s="9" t="s">
        <v>731</v>
      </c>
      <c r="B552" s="35">
        <f t="shared" si="24"/>
        <v>422.67750000000001</v>
      </c>
      <c r="C552" s="35">
        <f>415*(100-C$2)/100</f>
        <v>435.75</v>
      </c>
      <c r="D552" s="35">
        <f t="shared" si="25"/>
        <v>479.32500000000005</v>
      </c>
      <c r="E552" s="35">
        <f t="shared" si="26"/>
        <v>501.11249999999995</v>
      </c>
    </row>
    <row r="553" spans="1:5" ht="15" customHeight="1" outlineLevel="1" x14ac:dyDescent="0.25">
      <c r="A553" s="9" t="s">
        <v>732</v>
      </c>
      <c r="B553" s="35">
        <f t="shared" si="24"/>
        <v>423.69600000000003</v>
      </c>
      <c r="C553" s="35">
        <f>416*(100-C$2)/100</f>
        <v>436.8</v>
      </c>
      <c r="D553" s="35">
        <f t="shared" si="25"/>
        <v>480.48000000000008</v>
      </c>
      <c r="E553" s="35">
        <f t="shared" si="26"/>
        <v>502.32</v>
      </c>
    </row>
    <row r="554" spans="1:5" ht="20.100000000000001" customHeight="1" outlineLevel="1" x14ac:dyDescent="0.25">
      <c r="A554" s="167" t="s">
        <v>944</v>
      </c>
      <c r="B554" s="168"/>
      <c r="C554" s="168"/>
      <c r="D554" s="168"/>
      <c r="E554" s="169"/>
    </row>
    <row r="555" spans="1:5" ht="15" customHeight="1" outlineLevel="1" x14ac:dyDescent="0.25">
      <c r="A555" s="9" t="s">
        <v>733</v>
      </c>
      <c r="B555" s="35">
        <f t="shared" si="24"/>
        <v>181.29300000000001</v>
      </c>
      <c r="C555" s="35">
        <f>178*(100-C$2)/100</f>
        <v>186.9</v>
      </c>
      <c r="D555" s="35">
        <f t="shared" si="25"/>
        <v>205.59000000000003</v>
      </c>
      <c r="E555" s="35">
        <f t="shared" si="26"/>
        <v>214.935</v>
      </c>
    </row>
    <row r="556" spans="1:5" ht="15" customHeight="1" outlineLevel="1" x14ac:dyDescent="0.25">
      <c r="A556" s="9" t="s">
        <v>734</v>
      </c>
      <c r="B556" s="35">
        <f t="shared" si="24"/>
        <v>183.32999999999998</v>
      </c>
      <c r="C556" s="35">
        <f>180*(100-C$2)/100</f>
        <v>189</v>
      </c>
      <c r="D556" s="35">
        <f t="shared" si="25"/>
        <v>207.9</v>
      </c>
      <c r="E556" s="35">
        <f t="shared" si="26"/>
        <v>217.35</v>
      </c>
    </row>
    <row r="557" spans="1:5" ht="15" customHeight="1" outlineLevel="1" x14ac:dyDescent="0.25">
      <c r="A557" s="9" t="s">
        <v>735</v>
      </c>
      <c r="B557" s="35">
        <f t="shared" si="24"/>
        <v>186.38550000000001</v>
      </c>
      <c r="C557" s="35">
        <f>183*(100-C$2)/100</f>
        <v>192.15</v>
      </c>
      <c r="D557" s="35">
        <f t="shared" si="25"/>
        <v>211.36500000000004</v>
      </c>
      <c r="E557" s="35">
        <f t="shared" si="26"/>
        <v>220.9725</v>
      </c>
    </row>
    <row r="558" spans="1:5" ht="15" customHeight="1" outlineLevel="1" x14ac:dyDescent="0.25">
      <c r="A558" s="9" t="s">
        <v>736</v>
      </c>
      <c r="B558" s="35">
        <f t="shared" si="24"/>
        <v>183.32999999999998</v>
      </c>
      <c r="C558" s="35">
        <f>180*(100-C$2)/100</f>
        <v>189</v>
      </c>
      <c r="D558" s="35">
        <f t="shared" si="25"/>
        <v>207.9</v>
      </c>
      <c r="E558" s="35">
        <f t="shared" si="26"/>
        <v>217.35</v>
      </c>
    </row>
    <row r="559" spans="1:5" ht="15" customHeight="1" outlineLevel="1" x14ac:dyDescent="0.25">
      <c r="A559" s="9" t="s">
        <v>737</v>
      </c>
      <c r="B559" s="35">
        <f t="shared" si="24"/>
        <v>193.51499999999999</v>
      </c>
      <c r="C559" s="35">
        <f>190*(100-C$2)/100</f>
        <v>199.5</v>
      </c>
      <c r="D559" s="35">
        <f t="shared" si="25"/>
        <v>219.45000000000002</v>
      </c>
      <c r="E559" s="35">
        <f t="shared" si="26"/>
        <v>229.42499999999998</v>
      </c>
    </row>
    <row r="560" spans="1:5" ht="15" customHeight="1" outlineLevel="1" x14ac:dyDescent="0.25">
      <c r="A560" s="9" t="s">
        <v>738</v>
      </c>
      <c r="B560" s="35">
        <f t="shared" si="24"/>
        <v>207.77399999999997</v>
      </c>
      <c r="C560" s="35">
        <f>204*(100-C$2)/100</f>
        <v>214.2</v>
      </c>
      <c r="D560" s="35">
        <f t="shared" si="25"/>
        <v>235.62</v>
      </c>
      <c r="E560" s="35">
        <f t="shared" si="26"/>
        <v>246.32999999999996</v>
      </c>
    </row>
    <row r="561" spans="1:5" ht="15" customHeight="1" outlineLevel="1" x14ac:dyDescent="0.25">
      <c r="A561" s="9" t="s">
        <v>739</v>
      </c>
      <c r="B561" s="35">
        <f t="shared" si="24"/>
        <v>213.88499999999999</v>
      </c>
      <c r="C561" s="35">
        <f>210*(100-C$2)/100</f>
        <v>220.5</v>
      </c>
      <c r="D561" s="35">
        <f t="shared" si="25"/>
        <v>242.55</v>
      </c>
      <c r="E561" s="35">
        <f t="shared" si="26"/>
        <v>253.57499999999999</v>
      </c>
    </row>
    <row r="562" spans="1:5" ht="15" customHeight="1" outlineLevel="1" x14ac:dyDescent="0.25">
      <c r="A562" s="9" t="s">
        <v>740</v>
      </c>
      <c r="B562" s="35">
        <f t="shared" si="24"/>
        <v>196.57050000000001</v>
      </c>
      <c r="C562" s="35">
        <f>193*(100-C$2)/100</f>
        <v>202.65</v>
      </c>
      <c r="D562" s="35">
        <f t="shared" si="25"/>
        <v>222.91500000000002</v>
      </c>
      <c r="E562" s="35">
        <f t="shared" si="26"/>
        <v>233.04749999999999</v>
      </c>
    </row>
    <row r="563" spans="1:5" ht="15" customHeight="1" outlineLevel="1" x14ac:dyDescent="0.25">
      <c r="A563" s="9" t="s">
        <v>741</v>
      </c>
      <c r="B563" s="35">
        <f t="shared" si="24"/>
        <v>194.5335</v>
      </c>
      <c r="C563" s="35">
        <f>191*(100-C$2)/100</f>
        <v>200.55</v>
      </c>
      <c r="D563" s="35">
        <f t="shared" si="25"/>
        <v>220.60500000000002</v>
      </c>
      <c r="E563" s="35">
        <f t="shared" si="26"/>
        <v>230.63249999999999</v>
      </c>
    </row>
    <row r="564" spans="1:5" ht="15" customHeight="1" outlineLevel="1" x14ac:dyDescent="0.25">
      <c r="A564" s="9" t="s">
        <v>742</v>
      </c>
      <c r="B564" s="35">
        <f t="shared" si="24"/>
        <v>203.7</v>
      </c>
      <c r="C564" s="35">
        <f>200*(100-C$2)/100</f>
        <v>210</v>
      </c>
      <c r="D564" s="35">
        <f t="shared" si="25"/>
        <v>231.00000000000003</v>
      </c>
      <c r="E564" s="35">
        <f t="shared" si="26"/>
        <v>241.49999999999997</v>
      </c>
    </row>
    <row r="565" spans="1:5" ht="15" customHeight="1" outlineLevel="1" x14ac:dyDescent="0.25">
      <c r="A565" s="9" t="s">
        <v>743</v>
      </c>
      <c r="B565" s="35">
        <f t="shared" si="24"/>
        <v>203.7</v>
      </c>
      <c r="C565" s="35">
        <f>200*(100-C$2)/100</f>
        <v>210</v>
      </c>
      <c r="D565" s="35">
        <f t="shared" si="25"/>
        <v>231.00000000000003</v>
      </c>
      <c r="E565" s="35">
        <f t="shared" si="26"/>
        <v>241.49999999999997</v>
      </c>
    </row>
    <row r="566" spans="1:5" ht="15" customHeight="1" outlineLevel="1" x14ac:dyDescent="0.25">
      <c r="A566" s="9" t="s">
        <v>744</v>
      </c>
      <c r="B566" s="35">
        <f t="shared" si="24"/>
        <v>209.81100000000001</v>
      </c>
      <c r="C566" s="35">
        <f>206*(100-C$2)/100</f>
        <v>216.3</v>
      </c>
      <c r="D566" s="35">
        <f t="shared" si="25"/>
        <v>237.93000000000004</v>
      </c>
      <c r="E566" s="35">
        <f t="shared" si="26"/>
        <v>248.745</v>
      </c>
    </row>
    <row r="567" spans="1:5" ht="15" customHeight="1" outlineLevel="1" x14ac:dyDescent="0.25">
      <c r="A567" s="9" t="s">
        <v>745</v>
      </c>
      <c r="B567" s="35">
        <f t="shared" si="24"/>
        <v>262.77299999999997</v>
      </c>
      <c r="C567" s="35">
        <f>258*(100-C$2)/100</f>
        <v>270.89999999999998</v>
      </c>
      <c r="D567" s="35">
        <f t="shared" si="25"/>
        <v>297.99</v>
      </c>
      <c r="E567" s="35">
        <f t="shared" si="26"/>
        <v>311.53499999999997</v>
      </c>
    </row>
    <row r="568" spans="1:5" ht="15" customHeight="1" outlineLevel="1" x14ac:dyDescent="0.25">
      <c r="A568" s="9" t="s">
        <v>746</v>
      </c>
      <c r="B568" s="35">
        <f t="shared" si="24"/>
        <v>272.95799999999997</v>
      </c>
      <c r="C568" s="35">
        <f>268*(100-C$2)/100</f>
        <v>281.39999999999998</v>
      </c>
      <c r="D568" s="35">
        <f t="shared" si="25"/>
        <v>309.54000000000002</v>
      </c>
      <c r="E568" s="35">
        <f t="shared" si="26"/>
        <v>323.60999999999996</v>
      </c>
    </row>
    <row r="569" spans="1:5" ht="20.100000000000001" customHeight="1" outlineLevel="1" x14ac:dyDescent="0.25">
      <c r="A569" s="167" t="s">
        <v>945</v>
      </c>
      <c r="B569" s="168"/>
      <c r="C569" s="168"/>
      <c r="D569" s="168"/>
      <c r="E569" s="169"/>
    </row>
    <row r="570" spans="1:5" ht="15" customHeight="1" outlineLevel="1" x14ac:dyDescent="0.25">
      <c r="A570" s="9" t="s">
        <v>747</v>
      </c>
      <c r="B570" s="35">
        <f t="shared" si="24"/>
        <v>349.34549999999996</v>
      </c>
      <c r="C570" s="35">
        <f>343*(100-C$2)/100</f>
        <v>360.15</v>
      </c>
      <c r="D570" s="35">
        <f t="shared" si="25"/>
        <v>396.16500000000002</v>
      </c>
      <c r="E570" s="35">
        <f t="shared" si="26"/>
        <v>414.17249999999996</v>
      </c>
    </row>
    <row r="571" spans="1:5" ht="15" customHeight="1" outlineLevel="1" x14ac:dyDescent="0.25">
      <c r="A571" s="9" t="s">
        <v>748</v>
      </c>
      <c r="B571" s="35">
        <f t="shared" si="24"/>
        <v>355.45650000000001</v>
      </c>
      <c r="C571" s="35">
        <f>349*(100-C$2)/100</f>
        <v>366.45</v>
      </c>
      <c r="D571" s="35">
        <f t="shared" si="25"/>
        <v>403.09500000000003</v>
      </c>
      <c r="E571" s="35">
        <f t="shared" si="26"/>
        <v>421.41749999999996</v>
      </c>
    </row>
    <row r="572" spans="1:5" ht="15" customHeight="1" outlineLevel="1" x14ac:dyDescent="0.25">
      <c r="A572" s="9" t="s">
        <v>749</v>
      </c>
      <c r="B572" s="35">
        <f t="shared" si="24"/>
        <v>356.47499999999997</v>
      </c>
      <c r="C572" s="35">
        <f>350*(100-C$2)/100</f>
        <v>367.5</v>
      </c>
      <c r="D572" s="35">
        <f t="shared" si="25"/>
        <v>404.25000000000006</v>
      </c>
      <c r="E572" s="35">
        <f t="shared" si="26"/>
        <v>422.62499999999994</v>
      </c>
    </row>
    <row r="573" spans="1:5" ht="15" customHeight="1" outlineLevel="1" x14ac:dyDescent="0.25">
      <c r="A573" s="9" t="s">
        <v>750</v>
      </c>
      <c r="B573" s="35">
        <f t="shared" ref="B573:B634" si="27">C573*0.97</f>
        <v>362.58600000000001</v>
      </c>
      <c r="C573" s="35">
        <f>356*(100-C$2)/100</f>
        <v>373.8</v>
      </c>
      <c r="D573" s="35">
        <f t="shared" ref="D573:D634" si="28">C573*1.1</f>
        <v>411.18000000000006</v>
      </c>
      <c r="E573" s="35">
        <f t="shared" ref="E573:E634" si="29">C573*1.15</f>
        <v>429.87</v>
      </c>
    </row>
    <row r="574" spans="1:5" ht="15" customHeight="1" outlineLevel="1" x14ac:dyDescent="0.25">
      <c r="A574" s="9" t="s">
        <v>751</v>
      </c>
      <c r="B574" s="35">
        <f t="shared" si="27"/>
        <v>372.77100000000002</v>
      </c>
      <c r="C574" s="35">
        <f>366*(100-C$2)/100</f>
        <v>384.3</v>
      </c>
      <c r="D574" s="35">
        <f t="shared" si="28"/>
        <v>422.73000000000008</v>
      </c>
      <c r="E574" s="35">
        <f t="shared" si="29"/>
        <v>441.94499999999999</v>
      </c>
    </row>
    <row r="575" spans="1:5" ht="15" customHeight="1" outlineLevel="1" x14ac:dyDescent="0.25">
      <c r="A575" s="9" t="s">
        <v>752</v>
      </c>
      <c r="B575" s="35">
        <f t="shared" si="27"/>
        <v>374.80799999999999</v>
      </c>
      <c r="C575" s="35">
        <f>368*(100-C$2)/100</f>
        <v>386.4</v>
      </c>
      <c r="D575" s="35">
        <f t="shared" si="28"/>
        <v>425.04</v>
      </c>
      <c r="E575" s="35">
        <f t="shared" si="29"/>
        <v>444.35999999999996</v>
      </c>
    </row>
    <row r="576" spans="1:5" ht="15" customHeight="1" outlineLevel="1" x14ac:dyDescent="0.25">
      <c r="A576" s="9" t="s">
        <v>753</v>
      </c>
      <c r="B576" s="35">
        <f t="shared" si="27"/>
        <v>376.84499999999997</v>
      </c>
      <c r="C576" s="35">
        <f>370*(100-C$2)/100</f>
        <v>388.5</v>
      </c>
      <c r="D576" s="35">
        <f t="shared" si="28"/>
        <v>427.35</v>
      </c>
      <c r="E576" s="35">
        <f t="shared" si="29"/>
        <v>446.77499999999998</v>
      </c>
    </row>
    <row r="577" spans="1:5" ht="15" customHeight="1" outlineLevel="1" x14ac:dyDescent="0.25">
      <c r="A577" s="9" t="s">
        <v>754</v>
      </c>
      <c r="B577" s="35">
        <f t="shared" si="27"/>
        <v>391.10399999999998</v>
      </c>
      <c r="C577" s="35">
        <f>384*(100-C$2)/100</f>
        <v>403.2</v>
      </c>
      <c r="D577" s="35">
        <f t="shared" si="28"/>
        <v>443.52000000000004</v>
      </c>
      <c r="E577" s="35">
        <f t="shared" si="29"/>
        <v>463.67999999999995</v>
      </c>
    </row>
    <row r="578" spans="1:5" ht="15" customHeight="1" outlineLevel="1" x14ac:dyDescent="0.25">
      <c r="A578" s="9" t="s">
        <v>755</v>
      </c>
      <c r="B578" s="35">
        <f t="shared" si="27"/>
        <v>381.9375</v>
      </c>
      <c r="C578" s="35">
        <f>375*(100-C$2)/100</f>
        <v>393.75</v>
      </c>
      <c r="D578" s="35">
        <f t="shared" si="28"/>
        <v>433.12500000000006</v>
      </c>
      <c r="E578" s="35">
        <f t="shared" si="29"/>
        <v>452.81249999999994</v>
      </c>
    </row>
    <row r="579" spans="1:5" ht="15" customHeight="1" outlineLevel="1" x14ac:dyDescent="0.25">
      <c r="A579" s="9" t="s">
        <v>756</v>
      </c>
      <c r="B579" s="35">
        <f t="shared" si="27"/>
        <v>402.3075</v>
      </c>
      <c r="C579" s="35">
        <f>395*(100-C$2)/100</f>
        <v>414.75</v>
      </c>
      <c r="D579" s="35">
        <f t="shared" si="28"/>
        <v>456.22500000000002</v>
      </c>
      <c r="E579" s="35">
        <f t="shared" si="29"/>
        <v>476.96249999999998</v>
      </c>
    </row>
    <row r="580" spans="1:5" ht="15" customHeight="1" outlineLevel="1" x14ac:dyDescent="0.25">
      <c r="A580" s="9" t="s">
        <v>757</v>
      </c>
      <c r="B580" s="35">
        <f t="shared" si="27"/>
        <v>397.21499999999997</v>
      </c>
      <c r="C580" s="35">
        <f>390*(100-C$2)/100</f>
        <v>409.5</v>
      </c>
      <c r="D580" s="35">
        <f t="shared" si="28"/>
        <v>450.45000000000005</v>
      </c>
      <c r="E580" s="35">
        <f t="shared" si="29"/>
        <v>470.92499999999995</v>
      </c>
    </row>
    <row r="581" spans="1:5" ht="15" customHeight="1" outlineLevel="1" x14ac:dyDescent="0.25">
      <c r="A581" s="9" t="s">
        <v>758</v>
      </c>
      <c r="B581" s="35">
        <f t="shared" si="27"/>
        <v>392.1225</v>
      </c>
      <c r="C581" s="35">
        <f>385*(100-C$2)/100</f>
        <v>404.25</v>
      </c>
      <c r="D581" s="35">
        <f t="shared" si="28"/>
        <v>444.67500000000001</v>
      </c>
      <c r="E581" s="35">
        <f t="shared" si="29"/>
        <v>464.88749999999999</v>
      </c>
    </row>
    <row r="582" spans="1:5" ht="15" customHeight="1" outlineLevel="1" x14ac:dyDescent="0.25">
      <c r="A582" s="9" t="s">
        <v>759</v>
      </c>
      <c r="B582" s="35">
        <f t="shared" si="27"/>
        <v>423.69600000000003</v>
      </c>
      <c r="C582" s="35">
        <f>416*(100-C$2)/100</f>
        <v>436.8</v>
      </c>
      <c r="D582" s="35">
        <f t="shared" si="28"/>
        <v>480.48000000000008</v>
      </c>
      <c r="E582" s="35">
        <f t="shared" si="29"/>
        <v>502.32</v>
      </c>
    </row>
    <row r="583" spans="1:5" ht="15" customHeight="1" outlineLevel="1" x14ac:dyDescent="0.25">
      <c r="A583" s="9" t="s">
        <v>760</v>
      </c>
      <c r="B583" s="35">
        <f t="shared" si="27"/>
        <v>432.86250000000001</v>
      </c>
      <c r="C583" s="35">
        <f>425*(100-C$2)/100</f>
        <v>446.25</v>
      </c>
      <c r="D583" s="35">
        <f t="shared" si="28"/>
        <v>490.87500000000006</v>
      </c>
      <c r="E583" s="35">
        <f t="shared" si="29"/>
        <v>513.1875</v>
      </c>
    </row>
    <row r="584" spans="1:5" ht="15" customHeight="1" outlineLevel="1" x14ac:dyDescent="0.25">
      <c r="A584" s="9" t="s">
        <v>761</v>
      </c>
      <c r="B584" s="35">
        <f t="shared" si="27"/>
        <v>358.512</v>
      </c>
      <c r="C584" s="35">
        <f>352*(100-C$2)/100</f>
        <v>369.6</v>
      </c>
      <c r="D584" s="35">
        <f t="shared" si="28"/>
        <v>406.56000000000006</v>
      </c>
      <c r="E584" s="35">
        <f t="shared" si="29"/>
        <v>425.04</v>
      </c>
    </row>
    <row r="585" spans="1:5" ht="15" customHeight="1" outlineLevel="1" x14ac:dyDescent="0.25">
      <c r="A585" s="9" t="s">
        <v>762</v>
      </c>
      <c r="B585" s="35">
        <f t="shared" si="27"/>
        <v>369.71549999999996</v>
      </c>
      <c r="C585" s="35">
        <f>363*(100-C$2)/100</f>
        <v>381.15</v>
      </c>
      <c r="D585" s="35">
        <f t="shared" si="28"/>
        <v>419.26499999999999</v>
      </c>
      <c r="E585" s="35">
        <f t="shared" si="29"/>
        <v>438.32249999999993</v>
      </c>
    </row>
    <row r="586" spans="1:5" ht="15" customHeight="1" outlineLevel="1" x14ac:dyDescent="0.25">
      <c r="A586" s="9" t="s">
        <v>763</v>
      </c>
      <c r="B586" s="35">
        <f t="shared" si="27"/>
        <v>367.67849999999999</v>
      </c>
      <c r="C586" s="35">
        <f>361*(100-C$2)/100</f>
        <v>379.05</v>
      </c>
      <c r="D586" s="35">
        <f t="shared" si="28"/>
        <v>416.95500000000004</v>
      </c>
      <c r="E586" s="35">
        <f t="shared" si="29"/>
        <v>435.90749999999997</v>
      </c>
    </row>
    <row r="587" spans="1:5" ht="15" customHeight="1" outlineLevel="1" x14ac:dyDescent="0.25">
      <c r="A587" s="9" t="s">
        <v>764</v>
      </c>
      <c r="B587" s="35">
        <f t="shared" si="27"/>
        <v>382.95600000000002</v>
      </c>
      <c r="C587" s="35">
        <f>376*(100-C$2)/100</f>
        <v>394.8</v>
      </c>
      <c r="D587" s="35">
        <f t="shared" si="28"/>
        <v>434.28000000000003</v>
      </c>
      <c r="E587" s="35">
        <f t="shared" si="29"/>
        <v>454.02</v>
      </c>
    </row>
    <row r="588" spans="1:5" ht="15" customHeight="1" outlineLevel="1" x14ac:dyDescent="0.25">
      <c r="A588" s="9" t="s">
        <v>765</v>
      </c>
      <c r="B588" s="35">
        <f t="shared" si="27"/>
        <v>391.10399999999998</v>
      </c>
      <c r="C588" s="35">
        <f>384*(100-C$2)/100</f>
        <v>403.2</v>
      </c>
      <c r="D588" s="35">
        <f t="shared" si="28"/>
        <v>443.52000000000004</v>
      </c>
      <c r="E588" s="35">
        <f t="shared" si="29"/>
        <v>463.67999999999995</v>
      </c>
    </row>
    <row r="589" spans="1:5" ht="15" customHeight="1" outlineLevel="1" x14ac:dyDescent="0.25">
      <c r="A589" s="9" t="s">
        <v>766</v>
      </c>
      <c r="B589" s="35">
        <f t="shared" si="27"/>
        <v>389.06700000000001</v>
      </c>
      <c r="C589" s="35">
        <f>382*(100-C$2)/100</f>
        <v>401.1</v>
      </c>
      <c r="D589" s="35">
        <f t="shared" si="28"/>
        <v>441.21000000000004</v>
      </c>
      <c r="E589" s="35">
        <f t="shared" si="29"/>
        <v>461.26499999999999</v>
      </c>
    </row>
    <row r="590" spans="1:5" ht="15" customHeight="1" outlineLevel="1" x14ac:dyDescent="0.25">
      <c r="A590" s="9" t="s">
        <v>767</v>
      </c>
      <c r="B590" s="35">
        <f t="shared" si="27"/>
        <v>398.23349999999999</v>
      </c>
      <c r="C590" s="35">
        <f>391*(100-C$2)/100</f>
        <v>410.55</v>
      </c>
      <c r="D590" s="35">
        <f t="shared" si="28"/>
        <v>451.60500000000008</v>
      </c>
      <c r="E590" s="35">
        <f t="shared" si="29"/>
        <v>472.13249999999999</v>
      </c>
    </row>
    <row r="591" spans="1:5" ht="15" customHeight="1" outlineLevel="1" x14ac:dyDescent="0.25">
      <c r="A591" s="9" t="s">
        <v>768</v>
      </c>
      <c r="B591" s="35">
        <f t="shared" si="27"/>
        <v>402.3075</v>
      </c>
      <c r="C591" s="35">
        <f>395*(100-C$2)/100</f>
        <v>414.75</v>
      </c>
      <c r="D591" s="35">
        <f t="shared" si="28"/>
        <v>456.22500000000002</v>
      </c>
      <c r="E591" s="35">
        <f t="shared" si="29"/>
        <v>476.96249999999998</v>
      </c>
    </row>
    <row r="592" spans="1:5" ht="15" customHeight="1" outlineLevel="1" x14ac:dyDescent="0.25">
      <c r="A592" s="9" t="s">
        <v>769</v>
      </c>
      <c r="B592" s="35">
        <f t="shared" si="27"/>
        <v>407.4</v>
      </c>
      <c r="C592" s="35">
        <f>400*(100-C$2)/100</f>
        <v>420</v>
      </c>
      <c r="D592" s="35">
        <f t="shared" si="28"/>
        <v>462.00000000000006</v>
      </c>
      <c r="E592" s="35">
        <f t="shared" si="29"/>
        <v>482.99999999999994</v>
      </c>
    </row>
    <row r="593" spans="1:5" ht="15" customHeight="1" outlineLevel="1" x14ac:dyDescent="0.25">
      <c r="A593" s="9" t="s">
        <v>770</v>
      </c>
      <c r="B593" s="35">
        <f t="shared" si="27"/>
        <v>408.41849999999999</v>
      </c>
      <c r="C593" s="35">
        <f>401*(100-C$2)/100</f>
        <v>421.05</v>
      </c>
      <c r="D593" s="35">
        <f t="shared" si="28"/>
        <v>463.15500000000003</v>
      </c>
      <c r="E593" s="35">
        <f t="shared" si="29"/>
        <v>484.20749999999998</v>
      </c>
    </row>
    <row r="594" spans="1:5" ht="15" customHeight="1" outlineLevel="1" x14ac:dyDescent="0.25">
      <c r="A594" s="9" t="s">
        <v>771</v>
      </c>
      <c r="B594" s="35">
        <f t="shared" si="27"/>
        <v>409.43700000000001</v>
      </c>
      <c r="C594" s="35">
        <f>402*(100-C$2)/100</f>
        <v>422.1</v>
      </c>
      <c r="D594" s="35">
        <f t="shared" si="28"/>
        <v>464.31000000000006</v>
      </c>
      <c r="E594" s="35">
        <f t="shared" si="29"/>
        <v>485.41499999999996</v>
      </c>
    </row>
    <row r="595" spans="1:5" ht="15" customHeight="1" outlineLevel="1" x14ac:dyDescent="0.25">
      <c r="A595" s="9" t="s">
        <v>772</v>
      </c>
      <c r="B595" s="35">
        <f t="shared" si="27"/>
        <v>423.69600000000003</v>
      </c>
      <c r="C595" s="35">
        <f>416*(100-C$2)/100</f>
        <v>436.8</v>
      </c>
      <c r="D595" s="35">
        <f t="shared" si="28"/>
        <v>480.48000000000008</v>
      </c>
      <c r="E595" s="35">
        <f t="shared" si="29"/>
        <v>502.32</v>
      </c>
    </row>
    <row r="596" spans="1:5" ht="15" customHeight="1" outlineLevel="1" x14ac:dyDescent="0.25">
      <c r="A596" s="9" t="s">
        <v>773</v>
      </c>
      <c r="B596" s="35">
        <f t="shared" si="27"/>
        <v>425.73299999999995</v>
      </c>
      <c r="C596" s="35">
        <f>418*(100-C$2)/100</f>
        <v>438.9</v>
      </c>
      <c r="D596" s="35">
        <f t="shared" si="28"/>
        <v>482.79</v>
      </c>
      <c r="E596" s="35">
        <f t="shared" si="29"/>
        <v>504.73499999999996</v>
      </c>
    </row>
    <row r="597" spans="1:5" ht="15" customHeight="1" outlineLevel="1" x14ac:dyDescent="0.25">
      <c r="A597" s="9" t="s">
        <v>774</v>
      </c>
      <c r="B597" s="35">
        <f t="shared" si="27"/>
        <v>367.67849999999999</v>
      </c>
      <c r="C597" s="35">
        <f>361*(100-C$2)/100</f>
        <v>379.05</v>
      </c>
      <c r="D597" s="35">
        <f t="shared" si="28"/>
        <v>416.95500000000004</v>
      </c>
      <c r="E597" s="35">
        <f t="shared" si="29"/>
        <v>435.90749999999997</v>
      </c>
    </row>
    <row r="598" spans="1:5" ht="15" customHeight="1" outlineLevel="1" x14ac:dyDescent="0.25">
      <c r="A598" s="9" t="s">
        <v>775</v>
      </c>
      <c r="B598" s="35">
        <f t="shared" si="27"/>
        <v>376.84499999999997</v>
      </c>
      <c r="C598" s="35">
        <f>370*(100-C$2)/100</f>
        <v>388.5</v>
      </c>
      <c r="D598" s="35">
        <f t="shared" si="28"/>
        <v>427.35</v>
      </c>
      <c r="E598" s="35">
        <f t="shared" si="29"/>
        <v>446.77499999999998</v>
      </c>
    </row>
    <row r="599" spans="1:5" ht="15" customHeight="1" outlineLevel="1" x14ac:dyDescent="0.25">
      <c r="A599" s="9" t="s">
        <v>776</v>
      </c>
      <c r="B599" s="35">
        <f t="shared" si="27"/>
        <v>390.08549999999997</v>
      </c>
      <c r="C599" s="35">
        <f>383*(100-C$2)/100</f>
        <v>402.15</v>
      </c>
      <c r="D599" s="35">
        <f t="shared" si="28"/>
        <v>442.36500000000001</v>
      </c>
      <c r="E599" s="35">
        <f t="shared" si="29"/>
        <v>462.47249999999991</v>
      </c>
    </row>
    <row r="600" spans="1:5" ht="15" customHeight="1" outlineLevel="1" x14ac:dyDescent="0.25">
      <c r="A600" s="9" t="s">
        <v>777</v>
      </c>
      <c r="B600" s="35">
        <f t="shared" si="27"/>
        <v>398.23349999999999</v>
      </c>
      <c r="C600" s="35">
        <f>391*(100-C$2)/100</f>
        <v>410.55</v>
      </c>
      <c r="D600" s="35">
        <f t="shared" si="28"/>
        <v>451.60500000000008</v>
      </c>
      <c r="E600" s="35">
        <f t="shared" si="29"/>
        <v>472.13249999999999</v>
      </c>
    </row>
    <row r="601" spans="1:5" ht="15" customHeight="1" outlineLevel="1" x14ac:dyDescent="0.25">
      <c r="A601" s="9" t="s">
        <v>778</v>
      </c>
      <c r="B601" s="35">
        <f t="shared" si="27"/>
        <v>402.3075</v>
      </c>
      <c r="C601" s="35">
        <f>395*(100-C$2)/100</f>
        <v>414.75</v>
      </c>
      <c r="D601" s="35">
        <f t="shared" si="28"/>
        <v>456.22500000000002</v>
      </c>
      <c r="E601" s="35">
        <f t="shared" si="29"/>
        <v>476.96249999999998</v>
      </c>
    </row>
    <row r="602" spans="1:5" ht="15" customHeight="1" outlineLevel="1" x14ac:dyDescent="0.25">
      <c r="A602" s="9" t="s">
        <v>779</v>
      </c>
      <c r="B602" s="35">
        <f t="shared" si="27"/>
        <v>390.08549999999997</v>
      </c>
      <c r="C602" s="35">
        <f>383*(100-C$2)/100</f>
        <v>402.15</v>
      </c>
      <c r="D602" s="35">
        <f t="shared" si="28"/>
        <v>442.36500000000001</v>
      </c>
      <c r="E602" s="35">
        <f t="shared" si="29"/>
        <v>462.47249999999991</v>
      </c>
    </row>
    <row r="603" spans="1:5" ht="15" customHeight="1" outlineLevel="1" x14ac:dyDescent="0.25">
      <c r="A603" s="9" t="s">
        <v>780</v>
      </c>
      <c r="B603" s="35">
        <f t="shared" si="27"/>
        <v>412.49250000000001</v>
      </c>
      <c r="C603" s="35">
        <f>405*(100-C$2)/100</f>
        <v>425.25</v>
      </c>
      <c r="D603" s="35">
        <f t="shared" si="28"/>
        <v>467.77500000000003</v>
      </c>
      <c r="E603" s="35">
        <f t="shared" si="29"/>
        <v>489.03749999999997</v>
      </c>
    </row>
    <row r="604" spans="1:5" ht="15" customHeight="1" outlineLevel="1" x14ac:dyDescent="0.25">
      <c r="A604" s="9" t="s">
        <v>781</v>
      </c>
      <c r="B604" s="35">
        <f t="shared" si="27"/>
        <v>404.34450000000004</v>
      </c>
      <c r="C604" s="35">
        <f>397*(100-C$2)/100</f>
        <v>416.85</v>
      </c>
      <c r="D604" s="35">
        <f t="shared" si="28"/>
        <v>458.53500000000008</v>
      </c>
      <c r="E604" s="35">
        <f t="shared" si="29"/>
        <v>479.3775</v>
      </c>
    </row>
    <row r="605" spans="1:5" ht="15" customHeight="1" outlineLevel="1" x14ac:dyDescent="0.25">
      <c r="A605" s="9" t="s">
        <v>782</v>
      </c>
      <c r="B605" s="35">
        <f t="shared" si="27"/>
        <v>419.62200000000001</v>
      </c>
      <c r="C605" s="35">
        <f>412*(100-C$2)/100</f>
        <v>432.6</v>
      </c>
      <c r="D605" s="35">
        <f t="shared" si="28"/>
        <v>475.86000000000007</v>
      </c>
      <c r="E605" s="35">
        <f t="shared" si="29"/>
        <v>497.49</v>
      </c>
    </row>
    <row r="606" spans="1:5" ht="15" customHeight="1" outlineLevel="1" x14ac:dyDescent="0.25">
      <c r="A606" s="9" t="s">
        <v>783</v>
      </c>
      <c r="B606" s="35">
        <f t="shared" si="27"/>
        <v>422.67750000000001</v>
      </c>
      <c r="C606" s="35">
        <f>415*(100-C$2)/100</f>
        <v>435.75</v>
      </c>
      <c r="D606" s="35">
        <f t="shared" si="28"/>
        <v>479.32500000000005</v>
      </c>
      <c r="E606" s="35">
        <f t="shared" si="29"/>
        <v>501.11249999999995</v>
      </c>
    </row>
    <row r="607" spans="1:5" ht="15" customHeight="1" outlineLevel="1" x14ac:dyDescent="0.25">
      <c r="A607" s="9" t="s">
        <v>784</v>
      </c>
      <c r="B607" s="35">
        <f t="shared" si="27"/>
        <v>423.69600000000003</v>
      </c>
      <c r="C607" s="35">
        <f>416*(100-C$2)/100</f>
        <v>436.8</v>
      </c>
      <c r="D607" s="35">
        <f t="shared" si="28"/>
        <v>480.48000000000008</v>
      </c>
      <c r="E607" s="35">
        <f t="shared" si="29"/>
        <v>502.32</v>
      </c>
    </row>
    <row r="608" spans="1:5" ht="20.100000000000001" customHeight="1" outlineLevel="1" x14ac:dyDescent="0.25">
      <c r="A608" s="167" t="s">
        <v>946</v>
      </c>
      <c r="B608" s="168"/>
      <c r="C608" s="168"/>
      <c r="D608" s="168"/>
      <c r="E608" s="169"/>
    </row>
    <row r="609" spans="1:5" ht="15" customHeight="1" outlineLevel="1" x14ac:dyDescent="0.25">
      <c r="A609" s="9" t="s">
        <v>785</v>
      </c>
      <c r="B609" s="35">
        <f t="shared" si="27"/>
        <v>181.29300000000001</v>
      </c>
      <c r="C609" s="35">
        <f>178*(100-C$2)/100</f>
        <v>186.9</v>
      </c>
      <c r="D609" s="35">
        <f t="shared" si="28"/>
        <v>205.59000000000003</v>
      </c>
      <c r="E609" s="35">
        <f t="shared" si="29"/>
        <v>214.935</v>
      </c>
    </row>
    <row r="610" spans="1:5" ht="15" customHeight="1" outlineLevel="1" x14ac:dyDescent="0.25">
      <c r="A610" s="9" t="s">
        <v>786</v>
      </c>
      <c r="B610" s="35">
        <f t="shared" si="27"/>
        <v>183.32999999999998</v>
      </c>
      <c r="C610" s="35">
        <f>180*(100-C$2)/100</f>
        <v>189</v>
      </c>
      <c r="D610" s="35">
        <f t="shared" si="28"/>
        <v>207.9</v>
      </c>
      <c r="E610" s="35">
        <f t="shared" si="29"/>
        <v>217.35</v>
      </c>
    </row>
    <row r="611" spans="1:5" ht="15" customHeight="1" outlineLevel="1" x14ac:dyDescent="0.25">
      <c r="A611" s="9" t="s">
        <v>787</v>
      </c>
      <c r="B611" s="35">
        <f t="shared" si="27"/>
        <v>186.38550000000001</v>
      </c>
      <c r="C611" s="35">
        <f>183*(100-C$2)/100</f>
        <v>192.15</v>
      </c>
      <c r="D611" s="35">
        <f t="shared" si="28"/>
        <v>211.36500000000004</v>
      </c>
      <c r="E611" s="35">
        <f t="shared" si="29"/>
        <v>220.9725</v>
      </c>
    </row>
    <row r="612" spans="1:5" ht="15" customHeight="1" outlineLevel="1" x14ac:dyDescent="0.25">
      <c r="A612" s="9" t="s">
        <v>788</v>
      </c>
      <c r="B612" s="35">
        <f t="shared" si="27"/>
        <v>183.32999999999998</v>
      </c>
      <c r="C612" s="35">
        <f>180*(100-C$2)/100</f>
        <v>189</v>
      </c>
      <c r="D612" s="35">
        <f t="shared" si="28"/>
        <v>207.9</v>
      </c>
      <c r="E612" s="35">
        <f t="shared" si="29"/>
        <v>217.35</v>
      </c>
    </row>
    <row r="613" spans="1:5" ht="15" customHeight="1" outlineLevel="1" x14ac:dyDescent="0.25">
      <c r="A613" s="9" t="s">
        <v>789</v>
      </c>
      <c r="B613" s="35">
        <f t="shared" si="27"/>
        <v>193.51499999999999</v>
      </c>
      <c r="C613" s="35">
        <f>190*(100-C$2)/100</f>
        <v>199.5</v>
      </c>
      <c r="D613" s="35">
        <f t="shared" si="28"/>
        <v>219.45000000000002</v>
      </c>
      <c r="E613" s="35">
        <f t="shared" si="29"/>
        <v>229.42499999999998</v>
      </c>
    </row>
    <row r="614" spans="1:5" ht="15" customHeight="1" outlineLevel="1" x14ac:dyDescent="0.25">
      <c r="A614" s="9" t="s">
        <v>790</v>
      </c>
      <c r="B614" s="35">
        <f t="shared" si="27"/>
        <v>207.77399999999997</v>
      </c>
      <c r="C614" s="35">
        <f>204*(100-C$2)/100</f>
        <v>214.2</v>
      </c>
      <c r="D614" s="35">
        <f t="shared" si="28"/>
        <v>235.62</v>
      </c>
      <c r="E614" s="35">
        <f t="shared" si="29"/>
        <v>246.32999999999996</v>
      </c>
    </row>
    <row r="615" spans="1:5" ht="15" customHeight="1" outlineLevel="1" x14ac:dyDescent="0.25">
      <c r="A615" s="9" t="s">
        <v>791</v>
      </c>
      <c r="B615" s="35">
        <f t="shared" si="27"/>
        <v>213.88499999999999</v>
      </c>
      <c r="C615" s="35">
        <f>210*(100-C$2)/100</f>
        <v>220.5</v>
      </c>
      <c r="D615" s="35">
        <f t="shared" si="28"/>
        <v>242.55</v>
      </c>
      <c r="E615" s="35">
        <f t="shared" si="29"/>
        <v>253.57499999999999</v>
      </c>
    </row>
    <row r="616" spans="1:5" ht="15" customHeight="1" outlineLevel="1" x14ac:dyDescent="0.25">
      <c r="A616" s="9" t="s">
        <v>792</v>
      </c>
      <c r="B616" s="35">
        <f t="shared" si="27"/>
        <v>196.57050000000001</v>
      </c>
      <c r="C616" s="35">
        <f>193*(100-C$2)/100</f>
        <v>202.65</v>
      </c>
      <c r="D616" s="35">
        <f t="shared" si="28"/>
        <v>222.91500000000002</v>
      </c>
      <c r="E616" s="35">
        <f t="shared" si="29"/>
        <v>233.04749999999999</v>
      </c>
    </row>
    <row r="617" spans="1:5" ht="15" customHeight="1" outlineLevel="1" x14ac:dyDescent="0.25">
      <c r="A617" s="9" t="s">
        <v>793</v>
      </c>
      <c r="B617" s="35">
        <f t="shared" si="27"/>
        <v>194.5335</v>
      </c>
      <c r="C617" s="35">
        <f>191*(100-C$2)/100</f>
        <v>200.55</v>
      </c>
      <c r="D617" s="35">
        <f t="shared" si="28"/>
        <v>220.60500000000002</v>
      </c>
      <c r="E617" s="35">
        <f t="shared" si="29"/>
        <v>230.63249999999999</v>
      </c>
    </row>
    <row r="618" spans="1:5" ht="15" customHeight="1" outlineLevel="1" x14ac:dyDescent="0.25">
      <c r="A618" s="9" t="s">
        <v>794</v>
      </c>
      <c r="B618" s="35">
        <f t="shared" si="27"/>
        <v>203.7</v>
      </c>
      <c r="C618" s="35">
        <f>200*(100-C$2)/100</f>
        <v>210</v>
      </c>
      <c r="D618" s="35">
        <f t="shared" si="28"/>
        <v>231.00000000000003</v>
      </c>
      <c r="E618" s="35">
        <f t="shared" si="29"/>
        <v>241.49999999999997</v>
      </c>
    </row>
    <row r="619" spans="1:5" ht="15" customHeight="1" outlineLevel="1" x14ac:dyDescent="0.25">
      <c r="A619" s="9" t="s">
        <v>795</v>
      </c>
      <c r="B619" s="35">
        <f t="shared" si="27"/>
        <v>203.7</v>
      </c>
      <c r="C619" s="35">
        <f>200*(100-C$2)/100</f>
        <v>210</v>
      </c>
      <c r="D619" s="35">
        <f t="shared" si="28"/>
        <v>231.00000000000003</v>
      </c>
      <c r="E619" s="35">
        <f t="shared" si="29"/>
        <v>241.49999999999997</v>
      </c>
    </row>
    <row r="620" spans="1:5" ht="15" customHeight="1" outlineLevel="1" x14ac:dyDescent="0.25">
      <c r="A620" s="9" t="s">
        <v>796</v>
      </c>
      <c r="B620" s="35">
        <f t="shared" si="27"/>
        <v>209.81100000000001</v>
      </c>
      <c r="C620" s="35">
        <f>206*(100-C$2)/100</f>
        <v>216.3</v>
      </c>
      <c r="D620" s="35">
        <f t="shared" si="28"/>
        <v>237.93000000000004</v>
      </c>
      <c r="E620" s="35">
        <f t="shared" si="29"/>
        <v>248.745</v>
      </c>
    </row>
    <row r="621" spans="1:5" ht="15" customHeight="1" outlineLevel="1" x14ac:dyDescent="0.25">
      <c r="A621" s="9" t="s">
        <v>797</v>
      </c>
      <c r="B621" s="35">
        <f t="shared" si="27"/>
        <v>262.77299999999997</v>
      </c>
      <c r="C621" s="35">
        <f>258*(100-C$2)/100</f>
        <v>270.89999999999998</v>
      </c>
      <c r="D621" s="35">
        <f t="shared" si="28"/>
        <v>297.99</v>
      </c>
      <c r="E621" s="35">
        <f t="shared" si="29"/>
        <v>311.53499999999997</v>
      </c>
    </row>
    <row r="622" spans="1:5" ht="15" customHeight="1" outlineLevel="1" x14ac:dyDescent="0.25">
      <c r="A622" s="9" t="s">
        <v>798</v>
      </c>
      <c r="B622" s="35">
        <f t="shared" si="27"/>
        <v>272.95799999999997</v>
      </c>
      <c r="C622" s="35">
        <f>268*(100-C$2)/100</f>
        <v>281.39999999999998</v>
      </c>
      <c r="D622" s="35">
        <f t="shared" si="28"/>
        <v>309.54000000000002</v>
      </c>
      <c r="E622" s="35">
        <f t="shared" si="29"/>
        <v>323.60999999999996</v>
      </c>
    </row>
    <row r="623" spans="1:5" ht="20.100000000000001" customHeight="1" outlineLevel="1" x14ac:dyDescent="0.25">
      <c r="A623" s="167" t="s">
        <v>947</v>
      </c>
      <c r="B623" s="168"/>
      <c r="C623" s="168"/>
      <c r="D623" s="168"/>
      <c r="E623" s="169"/>
    </row>
    <row r="624" spans="1:5" ht="15" customHeight="1" outlineLevel="1" x14ac:dyDescent="0.25">
      <c r="A624" s="9" t="s">
        <v>974</v>
      </c>
      <c r="B624" s="35">
        <f t="shared" si="27"/>
        <v>40.74</v>
      </c>
      <c r="C624" s="35">
        <f>40*(100-C$2)/100</f>
        <v>42</v>
      </c>
      <c r="D624" s="35">
        <f t="shared" si="28"/>
        <v>46.2</v>
      </c>
      <c r="E624" s="35">
        <f t="shared" si="29"/>
        <v>48.3</v>
      </c>
    </row>
    <row r="625" spans="1:5" ht="15" customHeight="1" outlineLevel="1" x14ac:dyDescent="0.25">
      <c r="A625" s="9" t="s">
        <v>799</v>
      </c>
      <c r="B625" s="35">
        <f t="shared" si="27"/>
        <v>51.943499999999993</v>
      </c>
      <c r="C625" s="35">
        <f>51*(100-C$2)/100</f>
        <v>53.55</v>
      </c>
      <c r="D625" s="35">
        <f t="shared" si="28"/>
        <v>58.905000000000001</v>
      </c>
      <c r="E625" s="35">
        <f t="shared" si="29"/>
        <v>61.582499999999989</v>
      </c>
    </row>
    <row r="626" spans="1:5" ht="15" customHeight="1" outlineLevel="1" x14ac:dyDescent="0.25">
      <c r="A626" s="9" t="s">
        <v>957</v>
      </c>
      <c r="B626" s="35">
        <f t="shared" si="27"/>
        <v>60.091500000000003</v>
      </c>
      <c r="C626" s="35">
        <f>59*(100-C$2)/100</f>
        <v>61.95</v>
      </c>
      <c r="D626" s="35">
        <f t="shared" si="28"/>
        <v>68.14500000000001</v>
      </c>
      <c r="E626" s="35">
        <f t="shared" si="29"/>
        <v>71.242499999999993</v>
      </c>
    </row>
    <row r="627" spans="1:5" ht="15" customHeight="1" outlineLevel="1" x14ac:dyDescent="0.25">
      <c r="A627" s="9" t="s">
        <v>958</v>
      </c>
      <c r="B627" s="35">
        <f t="shared" si="27"/>
        <v>64.165500000000009</v>
      </c>
      <c r="C627" s="35">
        <f>63*(100-C$2)/100</f>
        <v>66.150000000000006</v>
      </c>
      <c r="D627" s="35">
        <f t="shared" si="28"/>
        <v>72.765000000000015</v>
      </c>
      <c r="E627" s="35">
        <f t="shared" si="29"/>
        <v>76.072500000000005</v>
      </c>
    </row>
    <row r="628" spans="1:5" ht="15" customHeight="1" outlineLevel="1" x14ac:dyDescent="0.25">
      <c r="A628" s="9" t="s">
        <v>800</v>
      </c>
      <c r="B628" s="35">
        <f t="shared" si="27"/>
        <v>75.369</v>
      </c>
      <c r="C628" s="35">
        <f>74*(100-C$2)/100</f>
        <v>77.7</v>
      </c>
      <c r="D628" s="35">
        <f t="shared" si="28"/>
        <v>85.470000000000013</v>
      </c>
      <c r="E628" s="35">
        <f t="shared" si="29"/>
        <v>89.35499999999999</v>
      </c>
    </row>
    <row r="629" spans="1:5" ht="15" customHeight="1" outlineLevel="1" x14ac:dyDescent="0.25">
      <c r="A629" s="9" t="s">
        <v>801</v>
      </c>
      <c r="B629" s="35">
        <f t="shared" si="27"/>
        <v>90.646500000000003</v>
      </c>
      <c r="C629" s="35">
        <f>89*(100-C$2)/100</f>
        <v>93.45</v>
      </c>
      <c r="D629" s="35">
        <f t="shared" si="28"/>
        <v>102.79500000000002</v>
      </c>
      <c r="E629" s="35">
        <f t="shared" si="29"/>
        <v>107.4675</v>
      </c>
    </row>
    <row r="630" spans="1:5" ht="15" customHeight="1" outlineLevel="1" x14ac:dyDescent="0.25">
      <c r="A630" s="9" t="s">
        <v>959</v>
      </c>
      <c r="B630" s="35">
        <f t="shared" si="27"/>
        <v>129.34949999999998</v>
      </c>
      <c r="C630" s="35">
        <f>127*(100-C$2)/100</f>
        <v>133.35</v>
      </c>
      <c r="D630" s="35">
        <f t="shared" si="28"/>
        <v>146.685</v>
      </c>
      <c r="E630" s="35">
        <f t="shared" si="29"/>
        <v>153.35249999999999</v>
      </c>
    </row>
    <row r="631" spans="1:5" ht="15" customHeight="1" outlineLevel="1" x14ac:dyDescent="0.25">
      <c r="A631" s="9" t="s">
        <v>960</v>
      </c>
      <c r="B631" s="35">
        <f t="shared" si="27"/>
        <v>179.256</v>
      </c>
      <c r="C631" s="35">
        <f>176*(100-C$2)/100</f>
        <v>184.8</v>
      </c>
      <c r="D631" s="35">
        <f t="shared" si="28"/>
        <v>203.28000000000003</v>
      </c>
      <c r="E631" s="35">
        <f t="shared" si="29"/>
        <v>212.52</v>
      </c>
    </row>
    <row r="632" spans="1:5" ht="20.100000000000001" customHeight="1" outlineLevel="1" x14ac:dyDescent="0.25">
      <c r="A632" s="167" t="s">
        <v>981</v>
      </c>
      <c r="B632" s="168"/>
      <c r="C632" s="168"/>
      <c r="D632" s="168"/>
      <c r="E632" s="169"/>
    </row>
    <row r="633" spans="1:5" ht="15" customHeight="1" outlineLevel="1" x14ac:dyDescent="0.25">
      <c r="A633" s="11" t="s">
        <v>961</v>
      </c>
      <c r="B633" s="35">
        <f t="shared" si="27"/>
        <v>563.23050000000001</v>
      </c>
      <c r="C633" s="35">
        <f>553*(100-C$2)/100</f>
        <v>580.65</v>
      </c>
      <c r="D633" s="35">
        <f t="shared" si="28"/>
        <v>638.71500000000003</v>
      </c>
      <c r="E633" s="35">
        <f t="shared" si="29"/>
        <v>667.74749999999995</v>
      </c>
    </row>
    <row r="634" spans="1:5" ht="15" customHeight="1" outlineLevel="1" x14ac:dyDescent="0.25">
      <c r="A634" s="11" t="s">
        <v>802</v>
      </c>
      <c r="B634" s="35">
        <f t="shared" si="27"/>
        <v>59.073</v>
      </c>
      <c r="C634" s="35">
        <f>58*(100-C$2)/100</f>
        <v>60.9</v>
      </c>
      <c r="D634" s="35">
        <f t="shared" si="28"/>
        <v>66.990000000000009</v>
      </c>
      <c r="E634" s="35">
        <f t="shared" si="29"/>
        <v>70.034999999999997</v>
      </c>
    </row>
    <row r="635" spans="1:5" ht="15" customHeight="1" outlineLevel="1" x14ac:dyDescent="0.25">
      <c r="A635" s="11" t="s">
        <v>964</v>
      </c>
      <c r="B635" s="35">
        <f t="shared" ref="B635:B678" si="30">C635*0.97</f>
        <v>60.091500000000003</v>
      </c>
      <c r="C635" s="35">
        <f>59*(100-C$2)/100</f>
        <v>61.95</v>
      </c>
      <c r="D635" s="35">
        <f t="shared" ref="D635:D678" si="31">C635*1.1</f>
        <v>68.14500000000001</v>
      </c>
      <c r="E635" s="35">
        <f t="shared" ref="E635:E678" si="32">C635*1.15</f>
        <v>71.242499999999993</v>
      </c>
    </row>
    <row r="636" spans="1:5" ht="15" customHeight="1" outlineLevel="1" x14ac:dyDescent="0.25">
      <c r="A636" s="11" t="s">
        <v>965</v>
      </c>
      <c r="B636" s="35">
        <f t="shared" si="30"/>
        <v>59.073</v>
      </c>
      <c r="C636" s="35">
        <f>58*(100-C$2)/100</f>
        <v>60.9</v>
      </c>
      <c r="D636" s="35">
        <f t="shared" si="31"/>
        <v>66.990000000000009</v>
      </c>
      <c r="E636" s="35">
        <f t="shared" si="32"/>
        <v>70.034999999999997</v>
      </c>
    </row>
    <row r="637" spans="1:5" ht="15" customHeight="1" outlineLevel="1" x14ac:dyDescent="0.25">
      <c r="A637" s="11" t="s">
        <v>803</v>
      </c>
      <c r="B637" s="35">
        <f t="shared" si="30"/>
        <v>71.295000000000002</v>
      </c>
      <c r="C637" s="35">
        <f>70*(100-C$2)/100</f>
        <v>73.5</v>
      </c>
      <c r="D637" s="35">
        <f t="shared" si="31"/>
        <v>80.850000000000009</v>
      </c>
      <c r="E637" s="35">
        <f t="shared" si="32"/>
        <v>84.524999999999991</v>
      </c>
    </row>
    <row r="638" spans="1:5" ht="15" customHeight="1" outlineLevel="1" x14ac:dyDescent="0.25">
      <c r="A638" s="11" t="s">
        <v>962</v>
      </c>
      <c r="B638" s="35">
        <f t="shared" si="30"/>
        <v>72.313499999999991</v>
      </c>
      <c r="C638" s="35">
        <f>71*(100-C$2)/100</f>
        <v>74.55</v>
      </c>
      <c r="D638" s="35">
        <f t="shared" si="31"/>
        <v>82.00500000000001</v>
      </c>
      <c r="E638" s="35">
        <f t="shared" si="32"/>
        <v>85.732499999999987</v>
      </c>
    </row>
    <row r="639" spans="1:5" ht="15" customHeight="1" outlineLevel="1" x14ac:dyDescent="0.25">
      <c r="A639" s="11" t="s">
        <v>963</v>
      </c>
      <c r="B639" s="35">
        <f t="shared" si="30"/>
        <v>73.331999999999994</v>
      </c>
      <c r="C639" s="35">
        <f>72*(100-C$2)/100</f>
        <v>75.599999999999994</v>
      </c>
      <c r="D639" s="35">
        <f t="shared" si="31"/>
        <v>83.16</v>
      </c>
      <c r="E639" s="35">
        <f t="shared" si="32"/>
        <v>86.939999999999984</v>
      </c>
    </row>
    <row r="640" spans="1:5" ht="15" customHeight="1" outlineLevel="1" x14ac:dyDescent="0.25">
      <c r="A640" s="11" t="s">
        <v>804</v>
      </c>
      <c r="B640" s="35">
        <f t="shared" si="30"/>
        <v>84.535499999999999</v>
      </c>
      <c r="C640" s="35">
        <f>83*(100-C$2)/100</f>
        <v>87.15</v>
      </c>
      <c r="D640" s="35">
        <f t="shared" si="31"/>
        <v>95.865000000000009</v>
      </c>
      <c r="E640" s="35">
        <f t="shared" si="32"/>
        <v>100.2225</v>
      </c>
    </row>
    <row r="641" spans="1:5" ht="15" customHeight="1" outlineLevel="1" x14ac:dyDescent="0.25">
      <c r="A641" s="11" t="s">
        <v>805</v>
      </c>
      <c r="B641" s="35">
        <f t="shared" si="30"/>
        <v>86.572499999999991</v>
      </c>
      <c r="C641" s="35">
        <f>85*(100-C$2)/100</f>
        <v>89.25</v>
      </c>
      <c r="D641" s="35">
        <f t="shared" si="31"/>
        <v>98.175000000000011</v>
      </c>
      <c r="E641" s="35">
        <f t="shared" si="32"/>
        <v>102.63749999999999</v>
      </c>
    </row>
    <row r="642" spans="1:5" ht="15" customHeight="1" outlineLevel="1" x14ac:dyDescent="0.25">
      <c r="A642" s="11" t="s">
        <v>806</v>
      </c>
      <c r="B642" s="35">
        <f t="shared" si="30"/>
        <v>82.498499999999993</v>
      </c>
      <c r="C642" s="35">
        <f>81*(100-C$2)/100</f>
        <v>85.05</v>
      </c>
      <c r="D642" s="35">
        <f t="shared" si="31"/>
        <v>93.555000000000007</v>
      </c>
      <c r="E642" s="35">
        <f t="shared" si="32"/>
        <v>97.80749999999999</v>
      </c>
    </row>
    <row r="643" spans="1:5" ht="15" customHeight="1" outlineLevel="1" x14ac:dyDescent="0.25">
      <c r="A643" s="11" t="s">
        <v>807</v>
      </c>
      <c r="B643" s="35">
        <f t="shared" si="30"/>
        <v>97.775999999999996</v>
      </c>
      <c r="C643" s="35">
        <f>96*(100-C$2)/100</f>
        <v>100.8</v>
      </c>
      <c r="D643" s="35">
        <f t="shared" si="31"/>
        <v>110.88000000000001</v>
      </c>
      <c r="E643" s="35">
        <f t="shared" si="32"/>
        <v>115.91999999999999</v>
      </c>
    </row>
    <row r="644" spans="1:5" ht="15" customHeight="1" outlineLevel="1" x14ac:dyDescent="0.25">
      <c r="A644" s="11" t="s">
        <v>808</v>
      </c>
      <c r="B644" s="35">
        <f t="shared" si="30"/>
        <v>99.813000000000002</v>
      </c>
      <c r="C644" s="35">
        <f>98*(100-C$2)/100</f>
        <v>102.9</v>
      </c>
      <c r="D644" s="35">
        <f t="shared" si="31"/>
        <v>113.19000000000001</v>
      </c>
      <c r="E644" s="35">
        <f t="shared" si="32"/>
        <v>118.33499999999999</v>
      </c>
    </row>
    <row r="645" spans="1:5" ht="15" customHeight="1" outlineLevel="1" x14ac:dyDescent="0.25">
      <c r="A645" s="11" t="s">
        <v>809</v>
      </c>
      <c r="B645" s="35">
        <f t="shared" si="30"/>
        <v>116.10899999999999</v>
      </c>
      <c r="C645" s="35">
        <f>114*(100-C$2)/100</f>
        <v>119.7</v>
      </c>
      <c r="D645" s="35">
        <f t="shared" si="31"/>
        <v>131.67000000000002</v>
      </c>
      <c r="E645" s="35">
        <f t="shared" si="32"/>
        <v>137.655</v>
      </c>
    </row>
    <row r="646" spans="1:5" ht="15" customHeight="1" outlineLevel="1" x14ac:dyDescent="0.25">
      <c r="A646" s="11" t="s">
        <v>810</v>
      </c>
      <c r="B646" s="35">
        <f t="shared" si="30"/>
        <v>95.739000000000004</v>
      </c>
      <c r="C646" s="35">
        <f>94*(100-C$2)/100</f>
        <v>98.7</v>
      </c>
      <c r="D646" s="35">
        <f t="shared" si="31"/>
        <v>108.57000000000001</v>
      </c>
      <c r="E646" s="35">
        <f t="shared" si="32"/>
        <v>113.505</v>
      </c>
    </row>
    <row r="647" spans="1:5" ht="15" customHeight="1" outlineLevel="1" x14ac:dyDescent="0.25">
      <c r="A647" s="11" t="s">
        <v>966</v>
      </c>
      <c r="B647" s="35">
        <f t="shared" si="30"/>
        <v>96.757499999999993</v>
      </c>
      <c r="C647" s="35">
        <f>95*(100-C$2)/100</f>
        <v>99.75</v>
      </c>
      <c r="D647" s="35">
        <f t="shared" si="31"/>
        <v>109.72500000000001</v>
      </c>
      <c r="E647" s="35">
        <f t="shared" si="32"/>
        <v>114.71249999999999</v>
      </c>
    </row>
    <row r="648" spans="1:5" ht="15" customHeight="1" outlineLevel="1" x14ac:dyDescent="0.25">
      <c r="A648" s="11" t="s">
        <v>967</v>
      </c>
      <c r="B648" s="35">
        <f t="shared" si="30"/>
        <v>98.794499999999985</v>
      </c>
      <c r="C648" s="35">
        <f>97*(100-C$2)/100</f>
        <v>101.85</v>
      </c>
      <c r="D648" s="35">
        <f t="shared" si="31"/>
        <v>112.035</v>
      </c>
      <c r="E648" s="35">
        <f t="shared" si="32"/>
        <v>117.12749999999998</v>
      </c>
    </row>
    <row r="649" spans="1:5" ht="15" customHeight="1" outlineLevel="1" x14ac:dyDescent="0.25">
      <c r="A649" s="11" t="s">
        <v>811</v>
      </c>
      <c r="B649" s="35">
        <f t="shared" si="30"/>
        <v>111.01649999999999</v>
      </c>
      <c r="C649" s="35">
        <f>109*(100-C$2)/100</f>
        <v>114.45</v>
      </c>
      <c r="D649" s="35">
        <f t="shared" si="31"/>
        <v>125.89500000000001</v>
      </c>
      <c r="E649" s="35">
        <f t="shared" si="32"/>
        <v>131.61750000000001</v>
      </c>
    </row>
    <row r="650" spans="1:5" ht="15" customHeight="1" outlineLevel="1" x14ac:dyDescent="0.25">
      <c r="A650" s="11" t="s">
        <v>812</v>
      </c>
      <c r="B650" s="35">
        <f t="shared" si="30"/>
        <v>114.07199999999999</v>
      </c>
      <c r="C650" s="35">
        <f>112*(100-C$2)/100</f>
        <v>117.6</v>
      </c>
      <c r="D650" s="35">
        <f t="shared" si="31"/>
        <v>129.36000000000001</v>
      </c>
      <c r="E650" s="35">
        <f t="shared" si="32"/>
        <v>135.23999999999998</v>
      </c>
    </row>
    <row r="651" spans="1:5" ht="15" customHeight="1" outlineLevel="1" x14ac:dyDescent="0.25">
      <c r="A651" s="11" t="s">
        <v>813</v>
      </c>
      <c r="B651" s="35">
        <f t="shared" si="30"/>
        <v>137.4975</v>
      </c>
      <c r="C651" s="35">
        <f>135*(100-C$2)/100</f>
        <v>141.75</v>
      </c>
      <c r="D651" s="35">
        <f t="shared" si="31"/>
        <v>155.92500000000001</v>
      </c>
      <c r="E651" s="35">
        <f t="shared" si="32"/>
        <v>163.01249999999999</v>
      </c>
    </row>
    <row r="652" spans="1:5" ht="15" customHeight="1" outlineLevel="1" x14ac:dyDescent="0.25">
      <c r="A652" s="11" t="s">
        <v>814</v>
      </c>
      <c r="B652" s="35">
        <f t="shared" si="30"/>
        <v>152.77500000000001</v>
      </c>
      <c r="C652" s="35">
        <f>150*(100-C$2)/100</f>
        <v>157.5</v>
      </c>
      <c r="D652" s="35">
        <f t="shared" si="31"/>
        <v>173.25</v>
      </c>
      <c r="E652" s="35">
        <f t="shared" si="32"/>
        <v>181.125</v>
      </c>
    </row>
    <row r="653" spans="1:5" ht="15" customHeight="1" outlineLevel="1" x14ac:dyDescent="0.25">
      <c r="A653" s="11" t="s">
        <v>815</v>
      </c>
      <c r="B653" s="35">
        <f t="shared" si="30"/>
        <v>106.9425</v>
      </c>
      <c r="C653" s="35">
        <f>105*(100-C$2)/100</f>
        <v>110.25</v>
      </c>
      <c r="D653" s="35">
        <f t="shared" si="31"/>
        <v>121.27500000000001</v>
      </c>
      <c r="E653" s="35">
        <f t="shared" si="32"/>
        <v>126.78749999999999</v>
      </c>
    </row>
    <row r="654" spans="1:5" ht="15" customHeight="1" outlineLevel="1" x14ac:dyDescent="0.25">
      <c r="A654" s="11" t="s">
        <v>816</v>
      </c>
      <c r="B654" s="35">
        <f t="shared" si="30"/>
        <v>119.16449999999999</v>
      </c>
      <c r="C654" s="35">
        <f>117*(100-C$2)/100</f>
        <v>122.85</v>
      </c>
      <c r="D654" s="35">
        <f t="shared" si="31"/>
        <v>135.13499999999999</v>
      </c>
      <c r="E654" s="35">
        <f t="shared" si="32"/>
        <v>141.27749999999997</v>
      </c>
    </row>
    <row r="655" spans="1:5" ht="15" customHeight="1" outlineLevel="1" x14ac:dyDescent="0.25">
      <c r="A655" s="11" t="s">
        <v>817</v>
      </c>
      <c r="B655" s="35">
        <f t="shared" si="30"/>
        <v>129.34949999999998</v>
      </c>
      <c r="C655" s="35">
        <f>127*(100-C$2)/100</f>
        <v>133.35</v>
      </c>
      <c r="D655" s="35">
        <f t="shared" si="31"/>
        <v>146.685</v>
      </c>
      <c r="E655" s="35">
        <f t="shared" si="32"/>
        <v>153.35249999999999</v>
      </c>
    </row>
    <row r="656" spans="1:5" ht="15" customHeight="1" outlineLevel="1" x14ac:dyDescent="0.25">
      <c r="A656" s="11" t="s">
        <v>818</v>
      </c>
      <c r="B656" s="35">
        <f t="shared" si="30"/>
        <v>147.6825</v>
      </c>
      <c r="C656" s="35">
        <f>145*(100-C$2)/100</f>
        <v>152.25</v>
      </c>
      <c r="D656" s="35">
        <f t="shared" si="31"/>
        <v>167.47500000000002</v>
      </c>
      <c r="E656" s="35">
        <f t="shared" si="32"/>
        <v>175.08749999999998</v>
      </c>
    </row>
    <row r="657" spans="1:5" ht="15" customHeight="1" outlineLevel="1" x14ac:dyDescent="0.25">
      <c r="A657" s="11" t="s">
        <v>819</v>
      </c>
      <c r="B657" s="35">
        <f t="shared" si="30"/>
        <v>162.96</v>
      </c>
      <c r="C657" s="35">
        <f>160*(100-C$2)/100</f>
        <v>168</v>
      </c>
      <c r="D657" s="35">
        <f t="shared" si="31"/>
        <v>184.8</v>
      </c>
      <c r="E657" s="35">
        <f t="shared" si="32"/>
        <v>193.2</v>
      </c>
    </row>
    <row r="658" spans="1:5" ht="15" customHeight="1" outlineLevel="1" x14ac:dyDescent="0.25">
      <c r="A658" s="11" t="s">
        <v>820</v>
      </c>
      <c r="B658" s="35">
        <f t="shared" si="30"/>
        <v>119.16449999999999</v>
      </c>
      <c r="C658" s="35">
        <f>117*(100-C$2)/100</f>
        <v>122.85</v>
      </c>
      <c r="D658" s="35">
        <f t="shared" si="31"/>
        <v>135.13499999999999</v>
      </c>
      <c r="E658" s="35">
        <f t="shared" si="32"/>
        <v>141.27749999999997</v>
      </c>
    </row>
    <row r="659" spans="1:5" ht="15" customHeight="1" outlineLevel="1" x14ac:dyDescent="0.25">
      <c r="A659" s="11" t="s">
        <v>968</v>
      </c>
      <c r="B659" s="35">
        <f t="shared" si="30"/>
        <v>124.25699999999999</v>
      </c>
      <c r="C659" s="35">
        <f>122*(100-C$2)/100</f>
        <v>128.1</v>
      </c>
      <c r="D659" s="35">
        <f t="shared" si="31"/>
        <v>140.91</v>
      </c>
      <c r="E659" s="35">
        <f t="shared" si="32"/>
        <v>147.31499999999997</v>
      </c>
    </row>
    <row r="660" spans="1:5" ht="15" customHeight="1" outlineLevel="1" x14ac:dyDescent="0.25">
      <c r="A660" s="11" t="s">
        <v>969</v>
      </c>
      <c r="B660" s="35">
        <f t="shared" si="30"/>
        <v>127.3125</v>
      </c>
      <c r="C660" s="35">
        <f>125*(100-C$2)/100</f>
        <v>131.25</v>
      </c>
      <c r="D660" s="35">
        <f t="shared" si="31"/>
        <v>144.375</v>
      </c>
      <c r="E660" s="35">
        <f t="shared" si="32"/>
        <v>150.9375</v>
      </c>
    </row>
    <row r="661" spans="1:5" ht="15" customHeight="1" outlineLevel="1" x14ac:dyDescent="0.25">
      <c r="A661" s="11" t="s">
        <v>821</v>
      </c>
      <c r="B661" s="35">
        <f t="shared" si="30"/>
        <v>136.47899999999998</v>
      </c>
      <c r="C661" s="35">
        <f>134*(100-C$2)/100</f>
        <v>140.69999999999999</v>
      </c>
      <c r="D661" s="35">
        <f t="shared" si="31"/>
        <v>154.77000000000001</v>
      </c>
      <c r="E661" s="35">
        <f t="shared" si="32"/>
        <v>161.80499999999998</v>
      </c>
    </row>
    <row r="662" spans="1:5" ht="15" customHeight="1" outlineLevel="1" x14ac:dyDescent="0.25">
      <c r="A662" s="11" t="s">
        <v>822</v>
      </c>
      <c r="B662" s="35">
        <f t="shared" si="30"/>
        <v>140.553</v>
      </c>
      <c r="C662" s="35">
        <f>138*(100-C$2)/100</f>
        <v>144.9</v>
      </c>
      <c r="D662" s="35">
        <f t="shared" si="31"/>
        <v>159.39000000000001</v>
      </c>
      <c r="E662" s="35">
        <f t="shared" si="32"/>
        <v>166.63499999999999</v>
      </c>
    </row>
    <row r="663" spans="1:5" ht="15" customHeight="1" outlineLevel="1" x14ac:dyDescent="0.25">
      <c r="A663" s="11" t="s">
        <v>823</v>
      </c>
      <c r="B663" s="35">
        <f t="shared" si="30"/>
        <v>159.90449999999998</v>
      </c>
      <c r="C663" s="35">
        <f>157*(100-C$2)/100</f>
        <v>164.85</v>
      </c>
      <c r="D663" s="35">
        <f t="shared" si="31"/>
        <v>181.33500000000001</v>
      </c>
      <c r="E663" s="35">
        <f t="shared" si="32"/>
        <v>189.57749999999999</v>
      </c>
    </row>
    <row r="664" spans="1:5" ht="15" customHeight="1" outlineLevel="1" x14ac:dyDescent="0.25">
      <c r="A664" s="11" t="s">
        <v>824</v>
      </c>
      <c r="B664" s="35">
        <f t="shared" si="30"/>
        <v>181.29300000000001</v>
      </c>
      <c r="C664" s="35">
        <f>178*(100-C$2)/100</f>
        <v>186.9</v>
      </c>
      <c r="D664" s="35">
        <f t="shared" si="31"/>
        <v>205.59000000000003</v>
      </c>
      <c r="E664" s="35">
        <f t="shared" si="32"/>
        <v>214.935</v>
      </c>
    </row>
    <row r="665" spans="1:5" ht="15" customHeight="1" outlineLevel="1" x14ac:dyDescent="0.25">
      <c r="A665" s="11" t="s">
        <v>825</v>
      </c>
      <c r="B665" s="35">
        <f t="shared" si="30"/>
        <v>143.60850000000002</v>
      </c>
      <c r="C665" s="35">
        <f>141*(100-C$2)/100</f>
        <v>148.05000000000001</v>
      </c>
      <c r="D665" s="35">
        <f t="shared" si="31"/>
        <v>162.85500000000002</v>
      </c>
      <c r="E665" s="35">
        <f t="shared" si="32"/>
        <v>170.25749999999999</v>
      </c>
    </row>
    <row r="666" spans="1:5" ht="15" customHeight="1" outlineLevel="1" x14ac:dyDescent="0.25">
      <c r="A666" s="11" t="s">
        <v>970</v>
      </c>
      <c r="B666" s="35">
        <f t="shared" si="30"/>
        <v>146.66399999999999</v>
      </c>
      <c r="C666" s="35">
        <f>144*(100-C$2)/100</f>
        <v>151.19999999999999</v>
      </c>
      <c r="D666" s="35">
        <f t="shared" si="31"/>
        <v>166.32</v>
      </c>
      <c r="E666" s="35">
        <f t="shared" si="32"/>
        <v>173.87999999999997</v>
      </c>
    </row>
    <row r="667" spans="1:5" ht="15" customHeight="1" outlineLevel="1" x14ac:dyDescent="0.25">
      <c r="A667" s="11" t="s">
        <v>971</v>
      </c>
      <c r="B667" s="35">
        <f t="shared" si="30"/>
        <v>150.738</v>
      </c>
      <c r="C667" s="35">
        <f>148*(100-C$2)/100</f>
        <v>155.4</v>
      </c>
      <c r="D667" s="35">
        <f t="shared" si="31"/>
        <v>170.94000000000003</v>
      </c>
      <c r="E667" s="35">
        <f t="shared" si="32"/>
        <v>178.70999999999998</v>
      </c>
    </row>
    <row r="668" spans="1:5" ht="15" customHeight="1" outlineLevel="1" x14ac:dyDescent="0.25">
      <c r="A668" s="11" t="s">
        <v>826</v>
      </c>
      <c r="B668" s="35">
        <f t="shared" si="30"/>
        <v>162.96</v>
      </c>
      <c r="C668" s="35">
        <f>160*(100-C$2)/100</f>
        <v>168</v>
      </c>
      <c r="D668" s="35">
        <f t="shared" si="31"/>
        <v>184.8</v>
      </c>
      <c r="E668" s="35">
        <f t="shared" si="32"/>
        <v>193.2</v>
      </c>
    </row>
    <row r="669" spans="1:5" ht="15" customHeight="1" outlineLevel="1" x14ac:dyDescent="0.25">
      <c r="A669" s="11" t="s">
        <v>827</v>
      </c>
      <c r="B669" s="35">
        <f t="shared" si="30"/>
        <v>168.05250000000001</v>
      </c>
      <c r="C669" s="35">
        <f>165*(100-C$2)/100</f>
        <v>173.25</v>
      </c>
      <c r="D669" s="35">
        <f t="shared" si="31"/>
        <v>190.57500000000002</v>
      </c>
      <c r="E669" s="35">
        <f t="shared" si="32"/>
        <v>199.23749999999998</v>
      </c>
    </row>
    <row r="670" spans="1:5" ht="15" customHeight="1" outlineLevel="1" x14ac:dyDescent="0.25">
      <c r="A670" s="11" t="s">
        <v>828</v>
      </c>
      <c r="B670" s="35">
        <f t="shared" si="30"/>
        <v>212.86649999999997</v>
      </c>
      <c r="C670" s="35">
        <f>209*(100-C$2)/100</f>
        <v>219.45</v>
      </c>
      <c r="D670" s="35">
        <f t="shared" si="31"/>
        <v>241.39500000000001</v>
      </c>
      <c r="E670" s="35">
        <f t="shared" si="32"/>
        <v>252.36749999999998</v>
      </c>
    </row>
    <row r="671" spans="1:5" ht="15" customHeight="1" outlineLevel="1" x14ac:dyDescent="0.25">
      <c r="A671" s="11" t="s">
        <v>829</v>
      </c>
      <c r="B671" s="35">
        <f t="shared" si="30"/>
        <v>196.57050000000001</v>
      </c>
      <c r="C671" s="35">
        <f>193*(100-C$2)/100</f>
        <v>202.65</v>
      </c>
      <c r="D671" s="35">
        <f t="shared" si="31"/>
        <v>222.91500000000002</v>
      </c>
      <c r="E671" s="35">
        <f t="shared" si="32"/>
        <v>233.04749999999999</v>
      </c>
    </row>
    <row r="672" spans="1:5" ht="15" customHeight="1" outlineLevel="1" x14ac:dyDescent="0.25">
      <c r="A672" s="11" t="s">
        <v>830</v>
      </c>
      <c r="B672" s="35">
        <f t="shared" si="30"/>
        <v>172.12649999999999</v>
      </c>
      <c r="C672" s="35">
        <f>169*(100-C$2)/100</f>
        <v>177.45</v>
      </c>
      <c r="D672" s="35">
        <f t="shared" si="31"/>
        <v>195.19499999999999</v>
      </c>
      <c r="E672" s="35">
        <f t="shared" si="32"/>
        <v>204.06749999999997</v>
      </c>
    </row>
    <row r="673" spans="1:5" ht="15" customHeight="1" outlineLevel="1" x14ac:dyDescent="0.25">
      <c r="A673" s="11" t="s">
        <v>972</v>
      </c>
      <c r="B673" s="35">
        <f t="shared" si="30"/>
        <v>178.23749999999998</v>
      </c>
      <c r="C673" s="35">
        <f>175*(100-C$2)/100</f>
        <v>183.75</v>
      </c>
      <c r="D673" s="35">
        <f t="shared" si="31"/>
        <v>202.12500000000003</v>
      </c>
      <c r="E673" s="35">
        <f t="shared" si="32"/>
        <v>211.31249999999997</v>
      </c>
    </row>
    <row r="674" spans="1:5" ht="15" customHeight="1" outlineLevel="1" x14ac:dyDescent="0.25">
      <c r="A674" s="11" t="s">
        <v>973</v>
      </c>
      <c r="B674" s="35">
        <f t="shared" si="30"/>
        <v>183.32999999999998</v>
      </c>
      <c r="C674" s="35">
        <f>180*(100-C$2)/100</f>
        <v>189</v>
      </c>
      <c r="D674" s="35">
        <f t="shared" si="31"/>
        <v>207.9</v>
      </c>
      <c r="E674" s="35">
        <f t="shared" si="32"/>
        <v>217.35</v>
      </c>
    </row>
    <row r="675" spans="1:5" ht="15" customHeight="1" outlineLevel="1" x14ac:dyDescent="0.25">
      <c r="A675" s="11" t="s">
        <v>831</v>
      </c>
      <c r="B675" s="35">
        <f t="shared" si="30"/>
        <v>193.51499999999999</v>
      </c>
      <c r="C675" s="35">
        <f>190*(100-C$2)/100</f>
        <v>199.5</v>
      </c>
      <c r="D675" s="35">
        <f t="shared" si="31"/>
        <v>219.45000000000002</v>
      </c>
      <c r="E675" s="35">
        <f t="shared" si="32"/>
        <v>229.42499999999998</v>
      </c>
    </row>
    <row r="676" spans="1:5" ht="15" customHeight="1" outlineLevel="1" x14ac:dyDescent="0.25">
      <c r="A676" s="11" t="s">
        <v>832</v>
      </c>
      <c r="B676" s="35">
        <f t="shared" si="30"/>
        <v>195.55199999999999</v>
      </c>
      <c r="C676" s="35">
        <f>192*(100-C$2)/100</f>
        <v>201.6</v>
      </c>
      <c r="D676" s="35">
        <f t="shared" si="31"/>
        <v>221.76000000000002</v>
      </c>
      <c r="E676" s="35">
        <f t="shared" si="32"/>
        <v>231.83999999999997</v>
      </c>
    </row>
    <row r="677" spans="1:5" ht="15" customHeight="1" outlineLevel="1" x14ac:dyDescent="0.25">
      <c r="A677" s="11" t="s">
        <v>833</v>
      </c>
      <c r="B677" s="35">
        <f t="shared" si="30"/>
        <v>203.7</v>
      </c>
      <c r="C677" s="35">
        <f>200*(100-C$2)/100</f>
        <v>210</v>
      </c>
      <c r="D677" s="35">
        <f t="shared" si="31"/>
        <v>231.00000000000003</v>
      </c>
      <c r="E677" s="35">
        <f t="shared" si="32"/>
        <v>241.49999999999997</v>
      </c>
    </row>
    <row r="678" spans="1:5" ht="15" customHeight="1" outlineLevel="1" x14ac:dyDescent="0.25">
      <c r="A678" s="11" t="s">
        <v>834</v>
      </c>
      <c r="B678" s="35">
        <f t="shared" si="30"/>
        <v>234.255</v>
      </c>
      <c r="C678" s="35">
        <f>230*(100-C$2)/100</f>
        <v>241.5</v>
      </c>
      <c r="D678" s="35">
        <f t="shared" si="31"/>
        <v>265.65000000000003</v>
      </c>
      <c r="E678" s="35">
        <f t="shared" si="32"/>
        <v>277.72499999999997</v>
      </c>
    </row>
    <row r="679" spans="1:5" x14ac:dyDescent="0.25">
      <c r="A679" s="29"/>
      <c r="B679" s="132"/>
      <c r="C679" s="132"/>
      <c r="D679" s="132"/>
      <c r="E679" s="132"/>
    </row>
    <row r="680" spans="1:5" x14ac:dyDescent="0.25">
      <c r="A680" s="1"/>
      <c r="B680" s="132"/>
      <c r="C680" s="132"/>
      <c r="D680" s="132"/>
      <c r="E680" s="132"/>
    </row>
    <row r="681" spans="1:5" x14ac:dyDescent="0.25">
      <c r="A681" s="1"/>
      <c r="B681" s="132"/>
      <c r="C681" s="132"/>
      <c r="D681" s="132"/>
      <c r="E681" s="132"/>
    </row>
    <row r="682" spans="1:5" x14ac:dyDescent="0.25">
      <c r="A682" s="1"/>
      <c r="B682" s="132"/>
      <c r="C682" s="132"/>
      <c r="D682" s="132"/>
      <c r="E682" s="132"/>
    </row>
    <row r="683" spans="1:5" x14ac:dyDescent="0.25">
      <c r="A683" s="1"/>
      <c r="B683" s="132"/>
      <c r="C683" s="132"/>
      <c r="D683" s="132"/>
      <c r="E683" s="132"/>
    </row>
    <row r="684" spans="1:5" x14ac:dyDescent="0.25">
      <c r="A684" s="1"/>
      <c r="B684" s="132"/>
      <c r="C684" s="132"/>
      <c r="D684" s="132"/>
      <c r="E684" s="132"/>
    </row>
    <row r="685" spans="1:5" x14ac:dyDescent="0.25">
      <c r="A685" s="1"/>
      <c r="B685" s="132"/>
      <c r="C685" s="132"/>
      <c r="D685" s="132"/>
      <c r="E685" s="132"/>
    </row>
    <row r="686" spans="1:5" x14ac:dyDescent="0.25">
      <c r="A686" s="1"/>
      <c r="B686" s="132"/>
      <c r="C686" s="132"/>
      <c r="D686" s="132"/>
      <c r="E686" s="132"/>
    </row>
    <row r="687" spans="1:5" x14ac:dyDescent="0.25">
      <c r="A687" s="1"/>
      <c r="B687" s="132"/>
      <c r="C687" s="132"/>
      <c r="D687" s="132"/>
      <c r="E687" s="132"/>
    </row>
    <row r="688" spans="1:5" x14ac:dyDescent="0.25">
      <c r="A688" s="1"/>
      <c r="B688" s="132"/>
      <c r="C688" s="132"/>
      <c r="D688" s="132"/>
      <c r="E688" s="132"/>
    </row>
    <row r="689" spans="1:5" x14ac:dyDescent="0.25">
      <c r="A689" s="1"/>
      <c r="B689" s="132"/>
      <c r="C689" s="132"/>
      <c r="D689" s="132"/>
      <c r="E689" s="132"/>
    </row>
    <row r="690" spans="1:5" x14ac:dyDescent="0.25">
      <c r="A690" s="1"/>
      <c r="B690" s="132"/>
      <c r="C690" s="132"/>
      <c r="D690" s="132"/>
      <c r="E690" s="132"/>
    </row>
    <row r="691" spans="1:5" x14ac:dyDescent="0.25">
      <c r="A691" s="1"/>
      <c r="B691" s="132"/>
      <c r="C691" s="132"/>
      <c r="D691" s="132"/>
      <c r="E691" s="132"/>
    </row>
    <row r="692" spans="1:5" x14ac:dyDescent="0.25">
      <c r="A692" s="1"/>
      <c r="B692" s="132"/>
      <c r="C692" s="132"/>
      <c r="D692" s="132"/>
      <c r="E692" s="132"/>
    </row>
    <row r="693" spans="1:5" x14ac:dyDescent="0.25">
      <c r="A693" s="1"/>
      <c r="B693" s="132"/>
      <c r="C693" s="132"/>
      <c r="D693" s="132"/>
      <c r="E693" s="132"/>
    </row>
    <row r="694" spans="1:5" x14ac:dyDescent="0.25">
      <c r="A694" s="1"/>
      <c r="B694" s="132"/>
      <c r="C694" s="132"/>
      <c r="D694" s="132"/>
      <c r="E694" s="132"/>
    </row>
    <row r="695" spans="1:5" x14ac:dyDescent="0.25">
      <c r="A695" s="1"/>
      <c r="B695" s="132"/>
      <c r="C695" s="132"/>
      <c r="D695" s="132"/>
      <c r="E695" s="132"/>
    </row>
    <row r="696" spans="1:5" x14ac:dyDescent="0.25">
      <c r="A696" s="1"/>
      <c r="B696" s="132"/>
      <c r="C696" s="132"/>
      <c r="D696" s="132"/>
      <c r="E696" s="132"/>
    </row>
    <row r="697" spans="1:5" x14ac:dyDescent="0.25">
      <c r="A697" s="1"/>
      <c r="B697" s="132"/>
      <c r="C697" s="132"/>
      <c r="D697" s="132"/>
      <c r="E697" s="132"/>
    </row>
    <row r="698" spans="1:5" x14ac:dyDescent="0.25">
      <c r="A698" s="1"/>
      <c r="B698" s="132"/>
      <c r="C698" s="132"/>
      <c r="D698" s="132"/>
      <c r="E698" s="132"/>
    </row>
    <row r="699" spans="1:5" x14ac:dyDescent="0.25">
      <c r="A699" s="1"/>
      <c r="B699" s="132"/>
      <c r="C699" s="132"/>
      <c r="D699" s="132"/>
      <c r="E699" s="132"/>
    </row>
    <row r="700" spans="1:5" x14ac:dyDescent="0.25">
      <c r="A700" s="1"/>
      <c r="B700" s="132"/>
      <c r="C700" s="132"/>
      <c r="D700" s="132"/>
      <c r="E700" s="132"/>
    </row>
    <row r="701" spans="1:5" x14ac:dyDescent="0.25">
      <c r="A701" s="1"/>
      <c r="B701" s="132"/>
      <c r="C701" s="132"/>
      <c r="D701" s="132"/>
      <c r="E701" s="132"/>
    </row>
    <row r="702" spans="1:5" x14ac:dyDescent="0.25">
      <c r="A702" s="4"/>
      <c r="B702" s="132"/>
      <c r="C702" s="132"/>
      <c r="D702" s="132"/>
      <c r="E702" s="132"/>
    </row>
    <row r="703" spans="1:5" x14ac:dyDescent="0.25">
      <c r="A703" s="1"/>
      <c r="B703" s="132"/>
      <c r="C703" s="132"/>
      <c r="D703" s="132"/>
      <c r="E703" s="132"/>
    </row>
    <row r="704" spans="1:5" x14ac:dyDescent="0.25">
      <c r="A704" s="1"/>
      <c r="B704" s="132"/>
      <c r="C704" s="132"/>
      <c r="D704" s="132"/>
      <c r="E704" s="132"/>
    </row>
    <row r="705" spans="1:5" x14ac:dyDescent="0.25">
      <c r="A705" s="1"/>
      <c r="B705" s="132"/>
      <c r="C705" s="132"/>
      <c r="D705" s="132"/>
      <c r="E705" s="132"/>
    </row>
    <row r="706" spans="1:5" x14ac:dyDescent="0.25">
      <c r="A706" s="1"/>
      <c r="B706" s="132"/>
      <c r="C706" s="132"/>
      <c r="D706" s="132"/>
      <c r="E706" s="132"/>
    </row>
    <row r="707" spans="1:5" x14ac:dyDescent="0.25">
      <c r="A707" s="1"/>
      <c r="B707" s="132"/>
      <c r="C707" s="132"/>
      <c r="D707" s="132"/>
      <c r="E707" s="132"/>
    </row>
    <row r="708" spans="1:5" x14ac:dyDescent="0.25">
      <c r="A708" s="26"/>
      <c r="B708" s="132"/>
      <c r="C708" s="132"/>
      <c r="D708" s="132"/>
      <c r="E708" s="132"/>
    </row>
    <row r="709" spans="1:5" x14ac:dyDescent="0.25">
      <c r="A709" s="1"/>
      <c r="B709" s="132"/>
      <c r="C709" s="132"/>
      <c r="D709" s="132"/>
      <c r="E709" s="132"/>
    </row>
    <row r="710" spans="1:5" x14ac:dyDescent="0.25">
      <c r="A710" s="1"/>
      <c r="B710" s="132"/>
      <c r="C710" s="132"/>
      <c r="D710" s="132"/>
      <c r="E710" s="132"/>
    </row>
    <row r="711" spans="1:5" x14ac:dyDescent="0.25">
      <c r="A711" s="1"/>
      <c r="B711" s="132"/>
      <c r="C711" s="132"/>
      <c r="D711" s="132"/>
      <c r="E711" s="132"/>
    </row>
    <row r="712" spans="1:5" x14ac:dyDescent="0.25">
      <c r="A712" s="4"/>
      <c r="B712" s="132"/>
      <c r="C712" s="132"/>
      <c r="D712" s="132"/>
      <c r="E712" s="132"/>
    </row>
    <row r="713" spans="1:5" x14ac:dyDescent="0.25">
      <c r="A713" s="1"/>
      <c r="B713" s="132"/>
      <c r="C713" s="132"/>
      <c r="D713" s="132"/>
      <c r="E713" s="132"/>
    </row>
    <row r="714" spans="1:5" x14ac:dyDescent="0.25">
      <c r="A714" s="1"/>
      <c r="B714" s="132"/>
      <c r="C714" s="132"/>
      <c r="D714" s="132"/>
      <c r="E714" s="132"/>
    </row>
    <row r="715" spans="1:5" x14ac:dyDescent="0.25">
      <c r="A715" s="1"/>
      <c r="B715" s="132"/>
      <c r="C715" s="132"/>
      <c r="D715" s="132"/>
      <c r="E715" s="132"/>
    </row>
    <row r="716" spans="1:5" x14ac:dyDescent="0.25">
      <c r="A716" s="1"/>
      <c r="B716" s="132"/>
      <c r="C716" s="132"/>
      <c r="D716" s="132"/>
      <c r="E716" s="132"/>
    </row>
    <row r="717" spans="1:5" x14ac:dyDescent="0.25">
      <c r="A717" s="1"/>
      <c r="B717" s="132"/>
      <c r="C717" s="132"/>
      <c r="D717" s="132"/>
      <c r="E717" s="132"/>
    </row>
    <row r="718" spans="1:5" x14ac:dyDescent="0.25">
      <c r="A718" s="1"/>
      <c r="B718" s="132"/>
      <c r="C718" s="132"/>
      <c r="D718" s="132"/>
      <c r="E718" s="132"/>
    </row>
    <row r="719" spans="1:5" x14ac:dyDescent="0.25">
      <c r="A719" s="1"/>
      <c r="B719" s="132"/>
      <c r="C719" s="132"/>
      <c r="D719" s="132"/>
      <c r="E719" s="132"/>
    </row>
    <row r="720" spans="1:5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4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4"/>
    </row>
    <row r="762" spans="1:1" x14ac:dyDescent="0.25">
      <c r="A762" s="1"/>
    </row>
    <row r="763" spans="1:1" x14ac:dyDescent="0.25">
      <c r="A763" s="26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4"/>
    </row>
    <row r="801" spans="1:1" x14ac:dyDescent="0.25">
      <c r="A801" s="1"/>
    </row>
    <row r="802" spans="1:1" x14ac:dyDescent="0.25">
      <c r="A802" s="26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4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4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4"/>
    </row>
    <row r="918" spans="1:1" x14ac:dyDescent="0.25">
      <c r="A918" s="26"/>
    </row>
    <row r="919" spans="1:1" x14ac:dyDescent="0.25">
      <c r="A919" s="26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4"/>
    </row>
    <row r="957" spans="1:1" x14ac:dyDescent="0.25">
      <c r="A957" s="1"/>
    </row>
    <row r="958" spans="1:1" x14ac:dyDescent="0.25">
      <c r="A958" s="26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4"/>
    </row>
    <row r="967" spans="1:1" x14ac:dyDescent="0.25">
      <c r="A967" s="26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4"/>
    </row>
    <row r="1006" spans="1:1" x14ac:dyDescent="0.25">
      <c r="A1006" s="26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25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  <row r="1030" spans="1:1" x14ac:dyDescent="0.25">
      <c r="A1030" s="1"/>
    </row>
    <row r="1031" spans="1:1" x14ac:dyDescent="0.25">
      <c r="A1031" s="1"/>
    </row>
    <row r="1032" spans="1:1" x14ac:dyDescent="0.25">
      <c r="A1032" s="1"/>
    </row>
    <row r="1033" spans="1:1" x14ac:dyDescent="0.25">
      <c r="A1033" s="1"/>
    </row>
    <row r="1034" spans="1:1" x14ac:dyDescent="0.25">
      <c r="A1034" s="1"/>
    </row>
    <row r="1035" spans="1:1" x14ac:dyDescent="0.25">
      <c r="A1035" s="1"/>
    </row>
    <row r="1036" spans="1:1" x14ac:dyDescent="0.25">
      <c r="A1036" s="1"/>
    </row>
    <row r="1037" spans="1:1" x14ac:dyDescent="0.25">
      <c r="A1037" s="1"/>
    </row>
    <row r="1038" spans="1:1" x14ac:dyDescent="0.25">
      <c r="A1038" s="1"/>
    </row>
    <row r="1039" spans="1:1" x14ac:dyDescent="0.25">
      <c r="A1039" s="1"/>
    </row>
    <row r="1040" spans="1:1" x14ac:dyDescent="0.25">
      <c r="A1040" s="1"/>
    </row>
    <row r="1041" spans="1:1" x14ac:dyDescent="0.25">
      <c r="A1041" s="1"/>
    </row>
    <row r="1042" spans="1:1" x14ac:dyDescent="0.25">
      <c r="A1042" s="1"/>
    </row>
    <row r="1043" spans="1:1" x14ac:dyDescent="0.25">
      <c r="A1043" s="1"/>
    </row>
    <row r="1044" spans="1:1" x14ac:dyDescent="0.25">
      <c r="A1044" s="1"/>
    </row>
    <row r="1045" spans="1:1" x14ac:dyDescent="0.25">
      <c r="A1045" s="1"/>
    </row>
    <row r="1046" spans="1:1" x14ac:dyDescent="0.25">
      <c r="A1046" s="1"/>
    </row>
    <row r="1047" spans="1:1" x14ac:dyDescent="0.25">
      <c r="A1047" s="1"/>
    </row>
    <row r="1048" spans="1:1" x14ac:dyDescent="0.25">
      <c r="A1048" s="1"/>
    </row>
    <row r="1049" spans="1:1" x14ac:dyDescent="0.25">
      <c r="A1049" s="1"/>
    </row>
    <row r="1050" spans="1:1" x14ac:dyDescent="0.25">
      <c r="A1050" s="1"/>
    </row>
    <row r="1051" spans="1:1" x14ac:dyDescent="0.25">
      <c r="A1051" s="1"/>
    </row>
    <row r="1052" spans="1:1" x14ac:dyDescent="0.25">
      <c r="A1052" s="1"/>
    </row>
    <row r="1053" spans="1:1" x14ac:dyDescent="0.25">
      <c r="A1053" s="1"/>
    </row>
    <row r="1054" spans="1:1" x14ac:dyDescent="0.25">
      <c r="A1054" s="4"/>
    </row>
    <row r="1055" spans="1:1" x14ac:dyDescent="0.25">
      <c r="A1055" s="1"/>
    </row>
    <row r="1056" spans="1:1" x14ac:dyDescent="0.25">
      <c r="A1056" s="1"/>
    </row>
    <row r="1057" spans="1:1" x14ac:dyDescent="0.25">
      <c r="A1057" s="1"/>
    </row>
    <row r="1058" spans="1:1" x14ac:dyDescent="0.25">
      <c r="A1058" s="1"/>
    </row>
    <row r="1059" spans="1:1" x14ac:dyDescent="0.25">
      <c r="A1059" s="1"/>
    </row>
    <row r="1060" spans="1:1" x14ac:dyDescent="0.25">
      <c r="A1060" s="1"/>
    </row>
    <row r="1061" spans="1:1" x14ac:dyDescent="0.25">
      <c r="A1061" s="26"/>
    </row>
    <row r="1062" spans="1:1" x14ac:dyDescent="0.25">
      <c r="A1062" s="1"/>
    </row>
    <row r="1063" spans="1:1" x14ac:dyDescent="0.25">
      <c r="A1063" s="1"/>
    </row>
    <row r="1064" spans="1:1" x14ac:dyDescent="0.25">
      <c r="A1064" s="25"/>
    </row>
    <row r="1065" spans="1:1" x14ac:dyDescent="0.25">
      <c r="A1065" s="1"/>
    </row>
    <row r="1066" spans="1:1" x14ac:dyDescent="0.25">
      <c r="A1066" s="1"/>
    </row>
    <row r="1067" spans="1:1" x14ac:dyDescent="0.25">
      <c r="A1067" s="1"/>
    </row>
    <row r="1068" spans="1:1" x14ac:dyDescent="0.25">
      <c r="A1068" s="1"/>
    </row>
    <row r="1069" spans="1:1" x14ac:dyDescent="0.25">
      <c r="A1069" s="1"/>
    </row>
    <row r="1070" spans="1:1" x14ac:dyDescent="0.25">
      <c r="A1070" s="1"/>
    </row>
    <row r="1071" spans="1:1" x14ac:dyDescent="0.25">
      <c r="A1071" s="1"/>
    </row>
    <row r="1072" spans="1:1" x14ac:dyDescent="0.25">
      <c r="A1072" s="1"/>
    </row>
    <row r="1073" spans="1:1" x14ac:dyDescent="0.25">
      <c r="A1073" s="1"/>
    </row>
    <row r="1074" spans="1:1" x14ac:dyDescent="0.25">
      <c r="A1074" s="1"/>
    </row>
    <row r="1075" spans="1:1" x14ac:dyDescent="0.25">
      <c r="A1075" s="1"/>
    </row>
    <row r="1076" spans="1:1" x14ac:dyDescent="0.25">
      <c r="A1076" s="1"/>
    </row>
    <row r="1077" spans="1:1" x14ac:dyDescent="0.25">
      <c r="A1077" s="1"/>
    </row>
    <row r="1078" spans="1:1" x14ac:dyDescent="0.25">
      <c r="A1078" s="1"/>
    </row>
    <row r="1079" spans="1:1" x14ac:dyDescent="0.25">
      <c r="A1079" s="1"/>
    </row>
    <row r="1080" spans="1:1" x14ac:dyDescent="0.25">
      <c r="A1080" s="1"/>
    </row>
    <row r="1081" spans="1:1" x14ac:dyDescent="0.25">
      <c r="A1081" s="1"/>
    </row>
    <row r="1082" spans="1:1" x14ac:dyDescent="0.25">
      <c r="A1082" s="1"/>
    </row>
    <row r="1083" spans="1:1" x14ac:dyDescent="0.25">
      <c r="A1083" s="1"/>
    </row>
    <row r="1084" spans="1:1" x14ac:dyDescent="0.25">
      <c r="A1084" s="1"/>
    </row>
    <row r="1085" spans="1:1" x14ac:dyDescent="0.25">
      <c r="A1085" s="1"/>
    </row>
    <row r="1086" spans="1:1" x14ac:dyDescent="0.25">
      <c r="A1086" s="1"/>
    </row>
    <row r="1087" spans="1:1" x14ac:dyDescent="0.25">
      <c r="A1087" s="1"/>
    </row>
    <row r="1088" spans="1:1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  <row r="1099" spans="1:1" x14ac:dyDescent="0.25">
      <c r="A1099" s="1"/>
    </row>
    <row r="1100" spans="1:1" x14ac:dyDescent="0.25">
      <c r="A1100" s="1"/>
    </row>
    <row r="1101" spans="1:1" x14ac:dyDescent="0.25">
      <c r="A1101" s="1"/>
    </row>
    <row r="1102" spans="1:1" x14ac:dyDescent="0.25">
      <c r="A1102" s="1"/>
    </row>
    <row r="1103" spans="1:1" x14ac:dyDescent="0.25">
      <c r="A1103" s="4"/>
    </row>
    <row r="1104" spans="1:1" x14ac:dyDescent="0.25">
      <c r="A1104" s="1"/>
    </row>
    <row r="1105" spans="1:1" x14ac:dyDescent="0.25">
      <c r="A1105" s="1"/>
    </row>
    <row r="1106" spans="1:1" x14ac:dyDescent="0.25">
      <c r="A1106" s="1"/>
    </row>
    <row r="1107" spans="1:1" x14ac:dyDescent="0.25">
      <c r="A1107" s="1"/>
    </row>
    <row r="1108" spans="1:1" x14ac:dyDescent="0.25">
      <c r="A1108" s="1"/>
    </row>
    <row r="1109" spans="1:1" x14ac:dyDescent="0.25">
      <c r="A1109" s="1"/>
    </row>
    <row r="1110" spans="1:1" x14ac:dyDescent="0.25">
      <c r="A1110" s="1"/>
    </row>
    <row r="1111" spans="1:1" x14ac:dyDescent="0.25">
      <c r="A1111" s="1"/>
    </row>
    <row r="1112" spans="1:1" x14ac:dyDescent="0.25">
      <c r="A1112" s="1"/>
    </row>
    <row r="1113" spans="1:1" x14ac:dyDescent="0.25">
      <c r="A1113" s="4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4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4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4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4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4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4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</sheetData>
  <sheetProtection algorithmName="SHA-512" hashValue="h5iw74C2W3RNdSio31foPmu+AOl9q3YywLgdtN5f9XBxvj9H4MgkACjxVwccVGgELkGs97j1UIv77cIuDUzH6Q==" saltValue="BOWcCmow/5XeygGDoZMUmQ==" spinCount="100000" sheet="1" objects="1" scenarios="1"/>
  <mergeCells count="27">
    <mergeCell ref="B4:E4"/>
    <mergeCell ref="A1:B1"/>
    <mergeCell ref="B3:E3"/>
    <mergeCell ref="F1:H2"/>
    <mergeCell ref="A52:E52"/>
    <mergeCell ref="A62:E62"/>
    <mergeCell ref="A109:E109"/>
    <mergeCell ref="A119:E119"/>
    <mergeCell ref="A166:E166"/>
    <mergeCell ref="A176:E176"/>
    <mergeCell ref="A223:E223"/>
    <mergeCell ref="A233:E233"/>
    <mergeCell ref="A280:E280"/>
    <mergeCell ref="A290:E290"/>
    <mergeCell ref="A337:E337"/>
    <mergeCell ref="A347:E347"/>
    <mergeCell ref="A394:E394"/>
    <mergeCell ref="A404:E404"/>
    <mergeCell ref="A451:E451"/>
    <mergeCell ref="A569:E569"/>
    <mergeCell ref="A608:E608"/>
    <mergeCell ref="A623:E623"/>
    <mergeCell ref="A632:E632"/>
    <mergeCell ref="A461:E461"/>
    <mergeCell ref="A500:E500"/>
    <mergeCell ref="A515:E515"/>
    <mergeCell ref="A554:E554"/>
  </mergeCells>
  <hyperlinks>
    <hyperlink ref="F3" location="ГЛАВНАЯ!A1" display="оглавление&gt;&gt;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="115" zoomScaleNormal="115" workbookViewId="0">
      <selection activeCell="A4" sqref="A4:G4"/>
    </sheetView>
  </sheetViews>
  <sheetFormatPr defaultRowHeight="15" x14ac:dyDescent="0.25"/>
  <cols>
    <col min="1" max="1" width="45.42578125" customWidth="1"/>
    <col min="2" max="2" width="22.28515625" style="16" customWidth="1"/>
  </cols>
  <sheetData>
    <row r="1" spans="1:8" ht="60.75" customHeight="1" x14ac:dyDescent="0.35">
      <c r="A1" s="156"/>
      <c r="B1" s="156"/>
      <c r="C1" s="157" t="s">
        <v>84</v>
      </c>
      <c r="D1" s="157"/>
      <c r="E1" s="103"/>
      <c r="F1" s="103"/>
      <c r="G1" s="103"/>
    </row>
    <row r="2" spans="1:8" ht="15" customHeight="1" x14ac:dyDescent="0.45">
      <c r="A2" s="104"/>
      <c r="B2" s="102"/>
      <c r="C2" s="86">
        <f>ГЛАВНАЯ!E12</f>
        <v>-15</v>
      </c>
      <c r="D2" s="86"/>
      <c r="E2" s="103"/>
      <c r="F2" s="103"/>
      <c r="G2" s="103"/>
    </row>
    <row r="3" spans="1:8" ht="24.95" customHeight="1" x14ac:dyDescent="0.25">
      <c r="A3" s="78" t="s">
        <v>1021</v>
      </c>
      <c r="B3" s="191" t="s">
        <v>99</v>
      </c>
      <c r="C3" s="191"/>
      <c r="D3" s="191"/>
      <c r="E3" s="191"/>
      <c r="F3" s="191"/>
      <c r="G3" s="192"/>
      <c r="H3" s="30" t="s">
        <v>1018</v>
      </c>
    </row>
    <row r="4" spans="1:8" ht="20.100000000000001" customHeight="1" x14ac:dyDescent="0.25">
      <c r="A4" s="167" t="s">
        <v>26</v>
      </c>
      <c r="B4" s="168"/>
      <c r="C4" s="168"/>
      <c r="D4" s="168"/>
      <c r="E4" s="168"/>
      <c r="F4" s="168"/>
      <c r="G4" s="169"/>
    </row>
    <row r="5" spans="1:8" ht="20.100000000000001" customHeight="1" x14ac:dyDescent="0.25">
      <c r="A5" s="167" t="s">
        <v>988</v>
      </c>
      <c r="B5" s="168"/>
      <c r="C5" s="168"/>
      <c r="D5" s="168"/>
      <c r="E5" s="168"/>
      <c r="F5" s="168"/>
      <c r="G5" s="169"/>
    </row>
    <row r="6" spans="1:8" x14ac:dyDescent="0.25">
      <c r="A6" s="14" t="s">
        <v>128</v>
      </c>
      <c r="B6" s="34">
        <f>104.89*(100-C$2)/100</f>
        <v>120.62350000000001</v>
      </c>
      <c r="C6" s="193"/>
      <c r="D6" s="194"/>
      <c r="E6" s="194"/>
      <c r="F6" s="194"/>
      <c r="G6" s="195"/>
    </row>
    <row r="7" spans="1:8" x14ac:dyDescent="0.25">
      <c r="A7" s="14" t="s">
        <v>129</v>
      </c>
      <c r="B7" s="34">
        <f>172*(100-C$2)/100</f>
        <v>197.8</v>
      </c>
      <c r="C7" s="196"/>
      <c r="D7" s="197"/>
      <c r="E7" s="197"/>
      <c r="F7" s="197"/>
      <c r="G7" s="198"/>
    </row>
    <row r="8" spans="1:8" x14ac:dyDescent="0.25">
      <c r="A8" s="14" t="s">
        <v>130</v>
      </c>
      <c r="B8" s="34">
        <f>190.5*(100-C$2)/100</f>
        <v>219.07499999999999</v>
      </c>
      <c r="C8" s="196"/>
      <c r="D8" s="197"/>
      <c r="E8" s="197"/>
      <c r="F8" s="197"/>
      <c r="G8" s="198"/>
    </row>
    <row r="9" spans="1:8" x14ac:dyDescent="0.25">
      <c r="A9" s="14" t="s">
        <v>131</v>
      </c>
      <c r="B9" s="34">
        <f>254*(100-C$2)/100</f>
        <v>292.10000000000002</v>
      </c>
      <c r="C9" s="196"/>
      <c r="D9" s="197"/>
      <c r="E9" s="197"/>
      <c r="F9" s="197"/>
      <c r="G9" s="198"/>
    </row>
    <row r="10" spans="1:8" x14ac:dyDescent="0.25">
      <c r="A10" s="14" t="s">
        <v>132</v>
      </c>
      <c r="B10" s="34">
        <f>373.9*(100-C$2)/100</f>
        <v>429.98500000000001</v>
      </c>
      <c r="C10" s="196"/>
      <c r="D10" s="197"/>
      <c r="E10" s="197"/>
      <c r="F10" s="197"/>
      <c r="G10" s="198"/>
    </row>
    <row r="11" spans="1:8" x14ac:dyDescent="0.25">
      <c r="A11" s="14" t="s">
        <v>133</v>
      </c>
      <c r="B11" s="34">
        <f>473.5*(100-C$2)/100</f>
        <v>544.52499999999998</v>
      </c>
      <c r="C11" s="196"/>
      <c r="D11" s="197"/>
      <c r="E11" s="197"/>
      <c r="F11" s="197"/>
      <c r="G11" s="198"/>
    </row>
    <row r="12" spans="1:8" x14ac:dyDescent="0.25">
      <c r="A12" s="14" t="s">
        <v>134</v>
      </c>
      <c r="B12" s="34">
        <f>129.36*(100-C$2)/100</f>
        <v>148.76400000000001</v>
      </c>
      <c r="C12" s="196"/>
      <c r="D12" s="197"/>
      <c r="E12" s="197"/>
      <c r="F12" s="197"/>
      <c r="G12" s="198"/>
    </row>
    <row r="13" spans="1:8" x14ac:dyDescent="0.25">
      <c r="A13" s="14" t="s">
        <v>135</v>
      </c>
      <c r="B13" s="34">
        <f>175.56*(100-C$2)/100</f>
        <v>201.89400000000001</v>
      </c>
      <c r="C13" s="196"/>
      <c r="D13" s="197"/>
      <c r="E13" s="197"/>
      <c r="F13" s="197"/>
      <c r="G13" s="198"/>
    </row>
    <row r="14" spans="1:8" x14ac:dyDescent="0.25">
      <c r="A14" s="14" t="s">
        <v>136</v>
      </c>
      <c r="B14" s="34">
        <f>190.58*(100-C$2)/100</f>
        <v>219.167</v>
      </c>
      <c r="C14" s="196"/>
      <c r="D14" s="197"/>
      <c r="E14" s="197"/>
      <c r="F14" s="197"/>
      <c r="G14" s="198"/>
    </row>
    <row r="15" spans="1:8" x14ac:dyDescent="0.25">
      <c r="A15" s="14" t="s">
        <v>137</v>
      </c>
      <c r="B15" s="34">
        <f>227.54*(100-C$2)/100</f>
        <v>261.67099999999999</v>
      </c>
      <c r="C15" s="196"/>
      <c r="D15" s="197"/>
      <c r="E15" s="197"/>
      <c r="F15" s="197"/>
      <c r="G15" s="198"/>
    </row>
    <row r="16" spans="1:8" x14ac:dyDescent="0.25">
      <c r="A16" s="14" t="s">
        <v>138</v>
      </c>
      <c r="B16" s="34">
        <f>304.92*(100-C$2)/100</f>
        <v>350.65800000000002</v>
      </c>
      <c r="C16" s="196"/>
      <c r="D16" s="197"/>
      <c r="E16" s="197"/>
      <c r="F16" s="197"/>
      <c r="G16" s="198"/>
    </row>
    <row r="17" spans="1:7" x14ac:dyDescent="0.25">
      <c r="A17" s="14" t="s">
        <v>139</v>
      </c>
      <c r="B17" s="34">
        <f>373.07*(100-C$2)/100</f>
        <v>429.03049999999996</v>
      </c>
      <c r="C17" s="196"/>
      <c r="D17" s="197"/>
      <c r="E17" s="197"/>
      <c r="F17" s="197"/>
      <c r="G17" s="198"/>
    </row>
    <row r="18" spans="1:7" x14ac:dyDescent="0.25">
      <c r="A18" s="14" t="s">
        <v>140</v>
      </c>
      <c r="B18" s="34">
        <f>463.16*(100-C$2)/100</f>
        <v>532.63400000000001</v>
      </c>
      <c r="C18" s="196"/>
      <c r="D18" s="197"/>
      <c r="E18" s="197"/>
      <c r="F18" s="197"/>
      <c r="G18" s="198"/>
    </row>
    <row r="19" spans="1:7" x14ac:dyDescent="0.25">
      <c r="A19" s="14" t="s">
        <v>141</v>
      </c>
      <c r="B19" s="34">
        <f>540.54*(100-C$2)/100</f>
        <v>621.62099999999998</v>
      </c>
      <c r="C19" s="196"/>
      <c r="D19" s="197"/>
      <c r="E19" s="197"/>
      <c r="F19" s="197"/>
      <c r="G19" s="198"/>
    </row>
    <row r="20" spans="1:7" x14ac:dyDescent="0.25">
      <c r="A20" s="14" t="s">
        <v>142</v>
      </c>
      <c r="B20" s="34">
        <f>204.44*(100-C$2)/100</f>
        <v>235.10599999999999</v>
      </c>
      <c r="C20" s="196"/>
      <c r="D20" s="197"/>
      <c r="E20" s="197"/>
      <c r="F20" s="197"/>
      <c r="G20" s="198"/>
    </row>
    <row r="21" spans="1:7" x14ac:dyDescent="0.25">
      <c r="A21" s="14" t="s">
        <v>143</v>
      </c>
      <c r="B21" s="34">
        <f>236.78*(100-C$2)/100</f>
        <v>272.29700000000003</v>
      </c>
      <c r="C21" s="196"/>
      <c r="D21" s="197"/>
      <c r="E21" s="197"/>
      <c r="F21" s="197"/>
      <c r="G21" s="198"/>
    </row>
    <row r="22" spans="1:7" x14ac:dyDescent="0.25">
      <c r="A22" s="14" t="s">
        <v>144</v>
      </c>
      <c r="B22" s="34">
        <f>280.67*(100-C$2)/100</f>
        <v>322.77050000000003</v>
      </c>
      <c r="C22" s="196"/>
      <c r="D22" s="197"/>
      <c r="E22" s="197"/>
      <c r="F22" s="197"/>
      <c r="G22" s="198"/>
    </row>
    <row r="23" spans="1:7" x14ac:dyDescent="0.25">
      <c r="A23" s="14" t="s">
        <v>145</v>
      </c>
      <c r="B23" s="34">
        <f>391.55*(100-C$2)/100</f>
        <v>450.28250000000003</v>
      </c>
      <c r="C23" s="196"/>
      <c r="D23" s="197"/>
      <c r="E23" s="197"/>
      <c r="F23" s="197"/>
      <c r="G23" s="198"/>
    </row>
    <row r="24" spans="1:7" x14ac:dyDescent="0.25">
      <c r="A24" s="14" t="s">
        <v>146</v>
      </c>
      <c r="B24" s="34">
        <f>466.62*(100-C$2)/100</f>
        <v>536.61300000000006</v>
      </c>
      <c r="C24" s="196"/>
      <c r="D24" s="197"/>
      <c r="E24" s="197"/>
      <c r="F24" s="197"/>
      <c r="G24" s="198"/>
    </row>
    <row r="25" spans="1:7" x14ac:dyDescent="0.25">
      <c r="A25" s="14" t="s">
        <v>147</v>
      </c>
      <c r="B25" s="34">
        <f>541.7*(100-C$2)/100</f>
        <v>622.95500000000004</v>
      </c>
      <c r="C25" s="196"/>
      <c r="D25" s="197"/>
      <c r="E25" s="197"/>
      <c r="F25" s="197"/>
      <c r="G25" s="198"/>
    </row>
    <row r="26" spans="1:7" x14ac:dyDescent="0.25">
      <c r="A26" s="14" t="s">
        <v>148</v>
      </c>
      <c r="B26" s="34">
        <f>644.49*(100-C$2)/100</f>
        <v>741.16350000000011</v>
      </c>
      <c r="C26" s="196"/>
      <c r="D26" s="197"/>
      <c r="E26" s="197"/>
      <c r="F26" s="197"/>
      <c r="G26" s="198"/>
    </row>
    <row r="27" spans="1:7" x14ac:dyDescent="0.25">
      <c r="A27" s="14" t="s">
        <v>149</v>
      </c>
      <c r="B27" s="34">
        <f>259.88*(100-C$2)/100</f>
        <v>298.86200000000002</v>
      </c>
      <c r="C27" s="196"/>
      <c r="D27" s="197"/>
      <c r="E27" s="197"/>
      <c r="F27" s="197"/>
      <c r="G27" s="198"/>
    </row>
    <row r="28" spans="1:7" x14ac:dyDescent="0.25">
      <c r="A28" s="14" t="s">
        <v>150</v>
      </c>
      <c r="B28" s="34">
        <f>285.29*(100-C$2)/100</f>
        <v>328.08350000000007</v>
      </c>
      <c r="C28" s="196"/>
      <c r="D28" s="197"/>
      <c r="E28" s="197"/>
      <c r="F28" s="197"/>
      <c r="G28" s="198"/>
    </row>
    <row r="29" spans="1:7" x14ac:dyDescent="0.25">
      <c r="A29" s="14" t="s">
        <v>151</v>
      </c>
      <c r="B29" s="34">
        <f>307.23*(100-C$2)/100</f>
        <v>353.31450000000007</v>
      </c>
      <c r="C29" s="196"/>
      <c r="D29" s="197"/>
      <c r="E29" s="197"/>
      <c r="F29" s="197"/>
      <c r="G29" s="198"/>
    </row>
    <row r="30" spans="1:7" x14ac:dyDescent="0.25">
      <c r="A30" s="14" t="s">
        <v>152</v>
      </c>
      <c r="B30" s="34">
        <f>377.69*(100-C$2)/100</f>
        <v>434.34350000000001</v>
      </c>
      <c r="C30" s="196"/>
      <c r="D30" s="197"/>
      <c r="E30" s="197"/>
      <c r="F30" s="197"/>
      <c r="G30" s="198"/>
    </row>
    <row r="31" spans="1:7" x14ac:dyDescent="0.25">
      <c r="A31" s="14" t="s">
        <v>153</v>
      </c>
      <c r="B31" s="34">
        <f>429.03*(100-C$2)/100</f>
        <v>493.38449999999995</v>
      </c>
      <c r="C31" s="196"/>
      <c r="D31" s="197"/>
      <c r="E31" s="197"/>
      <c r="F31" s="197"/>
      <c r="G31" s="198"/>
    </row>
    <row r="32" spans="1:7" x14ac:dyDescent="0.25">
      <c r="A32" s="14" t="s">
        <v>154</v>
      </c>
      <c r="B32" s="34">
        <f>568.26*(100-C$2)/100</f>
        <v>653.49900000000002</v>
      </c>
      <c r="C32" s="196"/>
      <c r="D32" s="197"/>
      <c r="E32" s="197"/>
      <c r="F32" s="197"/>
      <c r="G32" s="198"/>
    </row>
    <row r="33" spans="1:7" x14ac:dyDescent="0.25">
      <c r="A33" s="14" t="s">
        <v>155</v>
      </c>
      <c r="B33" s="34">
        <f>677.99*(100-C$2)/100</f>
        <v>779.68850000000009</v>
      </c>
      <c r="C33" s="199"/>
      <c r="D33" s="200"/>
      <c r="E33" s="200"/>
      <c r="F33" s="200"/>
      <c r="G33" s="201"/>
    </row>
    <row r="34" spans="1:7" ht="20.100000000000001" customHeight="1" x14ac:dyDescent="0.25">
      <c r="A34" s="167" t="s">
        <v>989</v>
      </c>
      <c r="B34" s="168"/>
      <c r="C34" s="168"/>
      <c r="D34" s="168"/>
      <c r="E34" s="168"/>
      <c r="F34" s="168"/>
      <c r="G34" s="169"/>
    </row>
    <row r="35" spans="1:7" x14ac:dyDescent="0.25">
      <c r="A35" s="14" t="s">
        <v>985</v>
      </c>
      <c r="B35" s="34">
        <f>328.02*(100-C$2)/100</f>
        <v>377.22299999999996</v>
      </c>
      <c r="C35" s="193"/>
      <c r="D35" s="194"/>
      <c r="E35" s="194"/>
      <c r="F35" s="194"/>
      <c r="G35" s="195"/>
    </row>
    <row r="36" spans="1:7" x14ac:dyDescent="0.25">
      <c r="A36" s="14" t="s">
        <v>986</v>
      </c>
      <c r="B36" s="34">
        <f>485.1*(100-C$2)/100</f>
        <v>557.86500000000001</v>
      </c>
      <c r="C36" s="196"/>
      <c r="D36" s="197"/>
      <c r="E36" s="197"/>
      <c r="F36" s="197"/>
      <c r="G36" s="198"/>
    </row>
    <row r="37" spans="1:7" x14ac:dyDescent="0.25">
      <c r="A37" s="14" t="s">
        <v>156</v>
      </c>
      <c r="B37" s="34">
        <f>517.44*(100-C$2)/100</f>
        <v>595.05600000000004</v>
      </c>
      <c r="C37" s="196"/>
      <c r="D37" s="197"/>
      <c r="E37" s="197"/>
      <c r="F37" s="197"/>
      <c r="G37" s="198"/>
    </row>
    <row r="38" spans="1:7" x14ac:dyDescent="0.25">
      <c r="A38" s="14" t="s">
        <v>157</v>
      </c>
      <c r="B38" s="34">
        <f>608.69*(100-C$2)/100</f>
        <v>699.99350000000004</v>
      </c>
      <c r="C38" s="196"/>
      <c r="D38" s="197"/>
      <c r="E38" s="197"/>
      <c r="F38" s="197"/>
      <c r="G38" s="198"/>
    </row>
    <row r="39" spans="1:7" x14ac:dyDescent="0.25">
      <c r="A39" s="14" t="s">
        <v>158</v>
      </c>
      <c r="B39" s="34">
        <f>704.55*(100-C$2)/100</f>
        <v>810.23249999999996</v>
      </c>
      <c r="C39" s="196"/>
      <c r="D39" s="197"/>
      <c r="E39" s="197"/>
      <c r="F39" s="197"/>
      <c r="G39" s="198"/>
    </row>
    <row r="40" spans="1:7" x14ac:dyDescent="0.25">
      <c r="A40" s="14" t="s">
        <v>159</v>
      </c>
      <c r="B40" s="34">
        <f>470.92*(100-C$2)/100</f>
        <v>541.55799999999999</v>
      </c>
      <c r="C40" s="196"/>
      <c r="D40" s="197"/>
      <c r="E40" s="197"/>
      <c r="F40" s="197"/>
      <c r="G40" s="198"/>
    </row>
    <row r="41" spans="1:7" x14ac:dyDescent="0.25">
      <c r="A41" s="14" t="s">
        <v>160</v>
      </c>
      <c r="B41" s="34">
        <f>563.22*(100-C$2)/100</f>
        <v>647.70299999999997</v>
      </c>
      <c r="C41" s="196"/>
      <c r="D41" s="197"/>
      <c r="E41" s="197"/>
      <c r="F41" s="197"/>
      <c r="G41" s="198"/>
    </row>
    <row r="42" spans="1:7" x14ac:dyDescent="0.25">
      <c r="A42" s="14" t="s">
        <v>161</v>
      </c>
      <c r="B42" s="34">
        <f>649.67*(100-C$2)/100</f>
        <v>747.12049999999988</v>
      </c>
      <c r="C42" s="196"/>
      <c r="D42" s="197"/>
      <c r="E42" s="197"/>
      <c r="F42" s="197"/>
      <c r="G42" s="198"/>
    </row>
    <row r="43" spans="1:7" x14ac:dyDescent="0.25">
      <c r="A43" s="14" t="s">
        <v>162</v>
      </c>
      <c r="B43" s="34">
        <f>742.56*(100-C$2)/100</f>
        <v>853.94399999999996</v>
      </c>
      <c r="C43" s="196"/>
      <c r="D43" s="197"/>
      <c r="E43" s="197"/>
      <c r="F43" s="197"/>
      <c r="G43" s="198"/>
    </row>
    <row r="44" spans="1:7" x14ac:dyDescent="0.25">
      <c r="A44" s="14" t="s">
        <v>163</v>
      </c>
      <c r="B44" s="34">
        <f>520.32*(100-C$2)/100</f>
        <v>598.36800000000005</v>
      </c>
      <c r="C44" s="196"/>
      <c r="D44" s="197"/>
      <c r="E44" s="197"/>
      <c r="F44" s="197"/>
      <c r="G44" s="198"/>
    </row>
    <row r="45" spans="1:7" x14ac:dyDescent="0.25">
      <c r="A45" s="14" t="s">
        <v>164</v>
      </c>
      <c r="B45" s="34">
        <f>613.79*(100-C$2)/100</f>
        <v>705.85849999999994</v>
      </c>
      <c r="C45" s="196"/>
      <c r="D45" s="197"/>
      <c r="E45" s="197"/>
      <c r="F45" s="197"/>
      <c r="G45" s="198"/>
    </row>
    <row r="46" spans="1:7" x14ac:dyDescent="0.25">
      <c r="A46" s="14" t="s">
        <v>165</v>
      </c>
      <c r="B46" s="34">
        <f>696.83*(100-C$2)/100</f>
        <v>801.35450000000014</v>
      </c>
      <c r="C46" s="196"/>
      <c r="D46" s="197"/>
      <c r="E46" s="197"/>
      <c r="F46" s="197"/>
      <c r="G46" s="198"/>
    </row>
    <row r="47" spans="1:7" x14ac:dyDescent="0.25">
      <c r="A47" s="14" t="s">
        <v>166</v>
      </c>
      <c r="B47" s="34">
        <f>788.21*(100-C$2)/100</f>
        <v>906.44150000000013</v>
      </c>
      <c r="C47" s="199"/>
      <c r="D47" s="200"/>
      <c r="E47" s="200"/>
      <c r="F47" s="200"/>
      <c r="G47" s="201"/>
    </row>
    <row r="48" spans="1:7" ht="20.100000000000001" customHeight="1" x14ac:dyDescent="0.25">
      <c r="A48" s="167" t="s">
        <v>987</v>
      </c>
      <c r="B48" s="168"/>
      <c r="C48" s="168"/>
      <c r="D48" s="168"/>
      <c r="E48" s="168"/>
      <c r="F48" s="168"/>
      <c r="G48" s="169"/>
    </row>
    <row r="49" spans="1:7" ht="70.5" customHeight="1" x14ac:dyDescent="0.25">
      <c r="A49" s="14" t="s">
        <v>171</v>
      </c>
      <c r="B49" s="35">
        <f>17.85*(100-C$2)/100</f>
        <v>20.5275</v>
      </c>
      <c r="C49" s="189"/>
      <c r="D49" s="190"/>
      <c r="E49" s="180"/>
      <c r="F49" s="181"/>
      <c r="G49" s="182"/>
    </row>
    <row r="50" spans="1:7" ht="82.5" customHeight="1" x14ac:dyDescent="0.25">
      <c r="A50" s="14" t="s">
        <v>169</v>
      </c>
      <c r="B50" s="35">
        <f>25.23*(100-C$2)/100</f>
        <v>29.014500000000002</v>
      </c>
      <c r="C50" s="189"/>
      <c r="D50" s="190"/>
      <c r="E50" s="183"/>
      <c r="F50" s="184"/>
      <c r="G50" s="185"/>
    </row>
    <row r="51" spans="1:7" ht="93" customHeight="1" x14ac:dyDescent="0.25">
      <c r="A51" s="14" t="s">
        <v>167</v>
      </c>
      <c r="B51" s="35">
        <f>59.5*(100-C$2)/100</f>
        <v>68.424999999999997</v>
      </c>
      <c r="C51" s="189"/>
      <c r="D51" s="190"/>
      <c r="E51" s="186"/>
      <c r="F51" s="187"/>
      <c r="G51" s="188"/>
    </row>
    <row r="52" spans="1:7" ht="87" customHeight="1" x14ac:dyDescent="0.25">
      <c r="A52" s="14" t="s">
        <v>168</v>
      </c>
      <c r="B52" s="35">
        <f>40.46*(100-C$2)/100</f>
        <v>46.529000000000003</v>
      </c>
      <c r="C52" s="189"/>
      <c r="D52" s="190"/>
      <c r="E52" s="186"/>
      <c r="F52" s="187"/>
      <c r="G52" s="188"/>
    </row>
    <row r="53" spans="1:7" ht="79.5" customHeight="1" x14ac:dyDescent="0.25">
      <c r="A53" s="15" t="s">
        <v>170</v>
      </c>
      <c r="B53" s="35">
        <f>21.18*(100-C$2)/100</f>
        <v>24.356999999999999</v>
      </c>
      <c r="C53" s="189"/>
      <c r="D53" s="190"/>
      <c r="E53" s="186"/>
      <c r="F53" s="187"/>
      <c r="G53" s="188"/>
    </row>
  </sheetData>
  <sheetProtection algorithmName="SHA-512" hashValue="wmGXNpPnnzLGR3eeKSDRy1Fe9NQW5absGGRtq/H4SL0EIXZd07Qxdjqx4SQfEh54/t1IPrawrfWuyUtfvqg3NQ==" saltValue="wlrgwGyEQYMsoy00AL9ngQ==" spinCount="100000" sheet="1" objects="1" scenarios="1"/>
  <mergeCells count="18">
    <mergeCell ref="A1:B1"/>
    <mergeCell ref="C1:D1"/>
    <mergeCell ref="A34:G34"/>
    <mergeCell ref="A48:G48"/>
    <mergeCell ref="A5:G5"/>
    <mergeCell ref="B3:G3"/>
    <mergeCell ref="A4:G4"/>
    <mergeCell ref="C35:G47"/>
    <mergeCell ref="C6:G33"/>
    <mergeCell ref="E49:G50"/>
    <mergeCell ref="E51:G51"/>
    <mergeCell ref="E52:G52"/>
    <mergeCell ref="E53:G53"/>
    <mergeCell ref="C49:D49"/>
    <mergeCell ref="C50:D50"/>
    <mergeCell ref="C51:D51"/>
    <mergeCell ref="C52:D52"/>
    <mergeCell ref="C53:D53"/>
  </mergeCells>
  <hyperlinks>
    <hyperlink ref="H3" location="ГЛАВНАЯ!A1" display="оглавление&gt;&gt;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zoomScale="115" zoomScaleNormal="11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B4" sqref="B4:C4"/>
    </sheetView>
  </sheetViews>
  <sheetFormatPr defaultRowHeight="15" x14ac:dyDescent="0.25"/>
  <cols>
    <col min="1" max="1" width="41" customWidth="1"/>
    <col min="2" max="2" width="16" style="16" customWidth="1"/>
    <col min="3" max="3" width="13.140625" style="16" customWidth="1"/>
    <col min="4" max="4" width="0.42578125" hidden="1" customWidth="1"/>
    <col min="7" max="7" width="9.7109375" customWidth="1"/>
  </cols>
  <sheetData>
    <row r="1" spans="1:13" ht="48" customHeight="1" x14ac:dyDescent="0.35">
      <c r="A1" s="205"/>
      <c r="B1" s="206"/>
      <c r="C1" s="157" t="s">
        <v>84</v>
      </c>
      <c r="D1" s="157"/>
      <c r="E1" s="119"/>
      <c r="F1" s="120"/>
      <c r="G1" s="120"/>
      <c r="H1" s="36"/>
      <c r="I1" s="36"/>
      <c r="J1" s="32"/>
      <c r="K1" s="32"/>
      <c r="L1" s="32"/>
      <c r="M1" s="32"/>
    </row>
    <row r="2" spans="1:13" ht="26.25" customHeight="1" x14ac:dyDescent="0.45">
      <c r="A2" s="98"/>
      <c r="B2" s="102"/>
      <c r="C2" s="86">
        <f>ГЛАВНАЯ!E12</f>
        <v>-15</v>
      </c>
      <c r="D2" s="86"/>
      <c r="E2" s="120"/>
      <c r="F2" s="120"/>
      <c r="G2" s="120"/>
      <c r="H2" s="36"/>
      <c r="I2" s="36"/>
      <c r="J2" s="32"/>
      <c r="K2" s="32"/>
      <c r="L2" s="32"/>
      <c r="M2" s="32"/>
    </row>
    <row r="3" spans="1:13" ht="24.95" customHeight="1" x14ac:dyDescent="0.45">
      <c r="A3" s="78" t="s">
        <v>1021</v>
      </c>
      <c r="B3" s="158" t="s">
        <v>99</v>
      </c>
      <c r="C3" s="158"/>
      <c r="D3" s="83"/>
      <c r="E3" s="120"/>
      <c r="F3" s="120"/>
      <c r="G3" s="120"/>
      <c r="H3" s="36"/>
      <c r="I3" s="36"/>
      <c r="J3" s="32"/>
      <c r="K3" s="32"/>
      <c r="L3" s="32"/>
      <c r="M3" s="32"/>
    </row>
    <row r="4" spans="1:13" ht="20.100000000000001" customHeight="1" x14ac:dyDescent="0.45">
      <c r="A4" s="80" t="s">
        <v>26</v>
      </c>
      <c r="B4" s="203" t="s">
        <v>0</v>
      </c>
      <c r="C4" s="204"/>
      <c r="D4" s="12"/>
      <c r="E4" s="36"/>
      <c r="F4" s="36"/>
      <c r="G4" s="36"/>
      <c r="H4" s="36"/>
      <c r="I4" s="36"/>
    </row>
    <row r="5" spans="1:13" ht="20.100000000000001" customHeight="1" x14ac:dyDescent="0.25">
      <c r="A5" s="80" t="s">
        <v>172</v>
      </c>
      <c r="B5" s="84">
        <v>1.2</v>
      </c>
      <c r="C5" s="84">
        <v>1.5</v>
      </c>
      <c r="D5" s="80"/>
      <c r="E5" s="36"/>
      <c r="F5" s="36"/>
      <c r="G5" s="36"/>
      <c r="H5" s="36"/>
      <c r="I5" s="36"/>
    </row>
    <row r="6" spans="1:13" ht="15" customHeight="1" x14ac:dyDescent="0.45">
      <c r="A6" s="18" t="s">
        <v>175</v>
      </c>
      <c r="B6" s="35">
        <f>105*(100-C$2)/100</f>
        <v>120.75</v>
      </c>
      <c r="C6" s="121"/>
      <c r="D6" s="12"/>
      <c r="E6" s="202" t="s">
        <v>1018</v>
      </c>
      <c r="F6" s="202"/>
      <c r="G6" s="13"/>
      <c r="H6" s="13"/>
    </row>
    <row r="7" spans="1:13" ht="15" customHeight="1" x14ac:dyDescent="0.45">
      <c r="A7" s="18" t="s">
        <v>176</v>
      </c>
      <c r="B7" s="35">
        <f>161*(100-C$2)/100</f>
        <v>185.15</v>
      </c>
      <c r="C7" s="122"/>
      <c r="D7" s="12"/>
      <c r="E7" s="13"/>
      <c r="F7" s="13"/>
      <c r="G7" s="13"/>
      <c r="H7" s="13"/>
    </row>
    <row r="8" spans="1:13" ht="15" customHeight="1" x14ac:dyDescent="0.25">
      <c r="A8" s="18" t="s">
        <v>174</v>
      </c>
      <c r="B8" s="35">
        <f>217*(100-C$2)/100</f>
        <v>249.55</v>
      </c>
      <c r="C8" s="35">
        <f>239*(100-C$2)/100</f>
        <v>274.85000000000002</v>
      </c>
    </row>
    <row r="9" spans="1:13" x14ac:dyDescent="0.25">
      <c r="A9" s="18" t="s">
        <v>179</v>
      </c>
      <c r="B9" s="35">
        <f>252*(100-C$2)/100</f>
        <v>289.8</v>
      </c>
      <c r="C9" s="35">
        <f>280*(100-C$2)/100</f>
        <v>322</v>
      </c>
    </row>
    <row r="10" spans="1:13" x14ac:dyDescent="0.25">
      <c r="A10" s="18" t="s">
        <v>177</v>
      </c>
      <c r="B10" s="35">
        <f>296*(100-C$2)/100</f>
        <v>340.4</v>
      </c>
      <c r="C10" s="35">
        <f>331*(100-C$2)/100</f>
        <v>380.65</v>
      </c>
    </row>
    <row r="11" spans="1:13" x14ac:dyDescent="0.25">
      <c r="A11" s="18" t="s">
        <v>178</v>
      </c>
      <c r="B11" s="35">
        <f>339*(100-C$2)/100</f>
        <v>389.85</v>
      </c>
      <c r="C11" s="35">
        <f>383*(100-C$2)/100</f>
        <v>440.45</v>
      </c>
    </row>
    <row r="12" spans="1:13" x14ac:dyDescent="0.25">
      <c r="A12" s="18" t="s">
        <v>180</v>
      </c>
      <c r="B12" s="35">
        <f>226*(100-C$2)/100</f>
        <v>259.89999999999998</v>
      </c>
      <c r="C12" s="35">
        <f>250*(100-C$2)/100</f>
        <v>287.5</v>
      </c>
    </row>
    <row r="13" spans="1:13" x14ac:dyDescent="0.25">
      <c r="A13" s="18" t="s">
        <v>181</v>
      </c>
      <c r="B13" s="35">
        <f>261*(100-C$2)/100</f>
        <v>300.14999999999998</v>
      </c>
      <c r="C13" s="35">
        <f>291*(100-C$2)/100</f>
        <v>334.65</v>
      </c>
    </row>
    <row r="14" spans="1:13" x14ac:dyDescent="0.25">
      <c r="A14" s="18" t="s">
        <v>182</v>
      </c>
      <c r="B14" s="35">
        <f>305*(100-C$2)/100</f>
        <v>350.75</v>
      </c>
      <c r="C14" s="35">
        <f>343*(100-C$2)/100</f>
        <v>394.45</v>
      </c>
    </row>
    <row r="15" spans="1:13" x14ac:dyDescent="0.25">
      <c r="A15" s="18" t="s">
        <v>183</v>
      </c>
      <c r="B15" s="35">
        <f>349*(100-C$2)/100</f>
        <v>401.35</v>
      </c>
      <c r="C15" s="35">
        <f>394*(100-C$2)/100</f>
        <v>453.1</v>
      </c>
    </row>
    <row r="16" spans="1:13" x14ac:dyDescent="0.25">
      <c r="A16" s="18" t="s">
        <v>184</v>
      </c>
      <c r="B16" s="35">
        <f>442*(100-C$2)/100</f>
        <v>508.3</v>
      </c>
      <c r="C16" s="35">
        <f>506*(100-C$2)/100</f>
        <v>581.9</v>
      </c>
    </row>
    <row r="17" spans="1:3" x14ac:dyDescent="0.25">
      <c r="A17" s="18" t="s">
        <v>185</v>
      </c>
      <c r="B17" s="35">
        <f>235*(100-C$2)/100</f>
        <v>270.25</v>
      </c>
      <c r="C17" s="35">
        <f>261*(100-C$2)/100</f>
        <v>300.14999999999998</v>
      </c>
    </row>
    <row r="18" spans="1:3" x14ac:dyDescent="0.25">
      <c r="A18" s="18" t="s">
        <v>186</v>
      </c>
      <c r="B18" s="35">
        <f>270*(100-C$2)/100</f>
        <v>310.5</v>
      </c>
      <c r="C18" s="35">
        <f>302*(100-C$2)/100</f>
        <v>347.3</v>
      </c>
    </row>
    <row r="19" spans="1:3" x14ac:dyDescent="0.25">
      <c r="A19" s="18" t="s">
        <v>187</v>
      </c>
      <c r="B19" s="35">
        <f>314*(100-C$2)/100</f>
        <v>361.1</v>
      </c>
      <c r="C19" s="35">
        <f>354*(100-C$2)/100</f>
        <v>407.1</v>
      </c>
    </row>
    <row r="20" spans="1:3" x14ac:dyDescent="0.25">
      <c r="A20" s="18" t="s">
        <v>173</v>
      </c>
      <c r="B20" s="35">
        <f>358*(100-C$2)/100</f>
        <v>411.7</v>
      </c>
      <c r="C20" s="35">
        <f>405*(100-C$2)/100</f>
        <v>465.75</v>
      </c>
    </row>
    <row r="21" spans="1:3" x14ac:dyDescent="0.25">
      <c r="A21" s="18" t="s">
        <v>188</v>
      </c>
      <c r="B21" s="35">
        <f>452*(100-C$2)/100</f>
        <v>519.79999999999995</v>
      </c>
      <c r="C21" s="35">
        <f>517*(100-C$2)/100</f>
        <v>594.54999999999995</v>
      </c>
    </row>
    <row r="22" spans="1:3" x14ac:dyDescent="0.25">
      <c r="A22" s="18" t="s">
        <v>189</v>
      </c>
      <c r="B22" s="35">
        <f>244*(100-C$2)/100</f>
        <v>280.60000000000002</v>
      </c>
      <c r="C22" s="35">
        <f>272*(100-C$2)/100</f>
        <v>312.8</v>
      </c>
    </row>
    <row r="23" spans="1:3" x14ac:dyDescent="0.25">
      <c r="A23" s="18" t="s">
        <v>190</v>
      </c>
      <c r="B23" s="35">
        <f>280*(100-C$2)/100</f>
        <v>322</v>
      </c>
      <c r="C23" s="35">
        <f>314*(100-C$2)/100</f>
        <v>361.1</v>
      </c>
    </row>
    <row r="24" spans="1:3" x14ac:dyDescent="0.25">
      <c r="A24" s="18" t="s">
        <v>191</v>
      </c>
      <c r="B24" s="35">
        <f>323*(100-C$2)/100</f>
        <v>371.45</v>
      </c>
      <c r="C24" s="35">
        <f>365*(100-C$2)/100</f>
        <v>419.75</v>
      </c>
    </row>
    <row r="25" spans="1:3" x14ac:dyDescent="0.25">
      <c r="A25" s="18" t="s">
        <v>192</v>
      </c>
      <c r="B25" s="35">
        <f>367*(100-C$2)/100</f>
        <v>422.05</v>
      </c>
      <c r="C25" s="35">
        <f>416*(100-C$2)/100</f>
        <v>478.4</v>
      </c>
    </row>
    <row r="26" spans="1:3" x14ac:dyDescent="0.25">
      <c r="A26" s="18" t="s">
        <v>193</v>
      </c>
      <c r="B26" s="35">
        <f>461*(100-C$2)/100</f>
        <v>530.15</v>
      </c>
      <c r="C26" s="35">
        <f>529*(100-C$2)/100</f>
        <v>608.35</v>
      </c>
    </row>
    <row r="27" spans="1:3" x14ac:dyDescent="0.25">
      <c r="A27" s="18" t="s">
        <v>194</v>
      </c>
      <c r="B27" s="35">
        <f>253*(100-C$2)/100</f>
        <v>290.95</v>
      </c>
      <c r="C27" s="35">
        <f>284*(100-C$2)/100</f>
        <v>326.60000000000002</v>
      </c>
    </row>
    <row r="28" spans="1:3" x14ac:dyDescent="0.25">
      <c r="A28" s="18" t="s">
        <v>195</v>
      </c>
      <c r="B28" s="35">
        <f>289*(100-C$2)/100</f>
        <v>332.35</v>
      </c>
      <c r="C28" s="35">
        <f>325*(100-C$2)/100</f>
        <v>373.75</v>
      </c>
    </row>
    <row r="29" spans="1:3" x14ac:dyDescent="0.25">
      <c r="A29" s="18" t="s">
        <v>196</v>
      </c>
      <c r="B29" s="35">
        <f>332*(100-C$2)/100</f>
        <v>381.8</v>
      </c>
      <c r="C29" s="35">
        <f>376*(100-C$2)/100</f>
        <v>432.4</v>
      </c>
    </row>
    <row r="30" spans="1:3" x14ac:dyDescent="0.25">
      <c r="A30" s="18" t="s">
        <v>197</v>
      </c>
      <c r="B30" s="35">
        <f>376*(100-C$2)/100</f>
        <v>432.4</v>
      </c>
      <c r="C30" s="35">
        <f>427*(100-C$2)/100</f>
        <v>491.05</v>
      </c>
    </row>
    <row r="31" spans="1:3" x14ac:dyDescent="0.25">
      <c r="A31" s="18" t="s">
        <v>198</v>
      </c>
      <c r="B31" s="35">
        <f>470*(100-C$2)/100</f>
        <v>540.5</v>
      </c>
      <c r="C31" s="35">
        <f>540*(100-C$2)/100</f>
        <v>621</v>
      </c>
    </row>
    <row r="32" spans="1:3" x14ac:dyDescent="0.25">
      <c r="A32" s="18" t="s">
        <v>200</v>
      </c>
      <c r="B32" s="35">
        <f>272*(100-C$2)/100</f>
        <v>312.8</v>
      </c>
      <c r="C32" s="35">
        <f>306*(100-C$2)/100</f>
        <v>351.9</v>
      </c>
    </row>
    <row r="33" spans="1:3" x14ac:dyDescent="0.25">
      <c r="A33" s="18" t="s">
        <v>201</v>
      </c>
      <c r="B33" s="35">
        <f>307*(100-C$2)/100</f>
        <v>353.05</v>
      </c>
      <c r="C33" s="35">
        <f>347*(100-C$2)/100</f>
        <v>399.05</v>
      </c>
    </row>
    <row r="34" spans="1:3" x14ac:dyDescent="0.25">
      <c r="A34" s="18" t="s">
        <v>202</v>
      </c>
      <c r="B34" s="35">
        <f>351*(100-C$2)/100</f>
        <v>403.65</v>
      </c>
      <c r="C34" s="35">
        <f>398*(100-C$2)/100</f>
        <v>457.7</v>
      </c>
    </row>
    <row r="35" spans="1:3" x14ac:dyDescent="0.25">
      <c r="A35" s="18" t="s">
        <v>203</v>
      </c>
      <c r="B35" s="35">
        <f>395*(100-C$2)/100</f>
        <v>454.25</v>
      </c>
      <c r="C35" s="35">
        <f>450*(100-C$2)/100</f>
        <v>517.5</v>
      </c>
    </row>
    <row r="36" spans="1:3" x14ac:dyDescent="0.25">
      <c r="A36" s="18" t="s">
        <v>204</v>
      </c>
      <c r="B36" s="35">
        <f>488*(100-C$2)/100</f>
        <v>561.20000000000005</v>
      </c>
      <c r="C36" s="35">
        <f>562*(100-C$2)/100</f>
        <v>646.29999999999995</v>
      </c>
    </row>
    <row r="37" spans="1:3" x14ac:dyDescent="0.25">
      <c r="A37" s="18" t="s">
        <v>205</v>
      </c>
      <c r="B37" s="35">
        <f>489*(100-C$2)/100</f>
        <v>562.35</v>
      </c>
      <c r="C37" s="35">
        <f>573*(100-C$2)/100</f>
        <v>658.95</v>
      </c>
    </row>
    <row r="38" spans="1:3" x14ac:dyDescent="0.25">
      <c r="A38" s="18" t="s">
        <v>199</v>
      </c>
      <c r="B38" s="35">
        <f>290*(100-C$2)/100</f>
        <v>333.5</v>
      </c>
      <c r="C38" s="35">
        <f>328*(100-C$2)/100</f>
        <v>377.2</v>
      </c>
    </row>
    <row r="39" spans="1:3" x14ac:dyDescent="0.25">
      <c r="A39" s="18" t="s">
        <v>206</v>
      </c>
      <c r="B39" s="35">
        <f>326*(100-C$2)/100</f>
        <v>374.9</v>
      </c>
      <c r="C39" s="35">
        <f>369*(100-C$2)/100</f>
        <v>424.35</v>
      </c>
    </row>
    <row r="40" spans="1:3" x14ac:dyDescent="0.25">
      <c r="A40" s="18" t="s">
        <v>207</v>
      </c>
      <c r="B40" s="35">
        <f>369*(100-C$2)/100</f>
        <v>424.35</v>
      </c>
      <c r="C40" s="35">
        <f>421*(100-C$2)/100</f>
        <v>484.15</v>
      </c>
    </row>
    <row r="41" spans="1:3" x14ac:dyDescent="0.25">
      <c r="A41" s="18" t="s">
        <v>208</v>
      </c>
      <c r="B41" s="35">
        <f>413*(100-C$2)/100</f>
        <v>474.95</v>
      </c>
      <c r="C41" s="35">
        <f>472*(100-C$2)/100</f>
        <v>542.79999999999995</v>
      </c>
    </row>
    <row r="42" spans="1:3" x14ac:dyDescent="0.25">
      <c r="A42" s="18" t="s">
        <v>209</v>
      </c>
      <c r="B42" s="35">
        <f>507*(100-C$2)/100</f>
        <v>583.04999999999995</v>
      </c>
      <c r="C42" s="35">
        <f>584*(100-C$2)/100</f>
        <v>671.6</v>
      </c>
    </row>
    <row r="43" spans="1:3" x14ac:dyDescent="0.25">
      <c r="A43" s="18" t="s">
        <v>210</v>
      </c>
      <c r="B43" s="35">
        <f>309*(100-C$2)/100</f>
        <v>355.35</v>
      </c>
      <c r="C43" s="35">
        <f>350*(100-C$2)/100</f>
        <v>402.5</v>
      </c>
    </row>
    <row r="44" spans="1:3" x14ac:dyDescent="0.25">
      <c r="A44" s="18" t="s">
        <v>211</v>
      </c>
      <c r="B44" s="35">
        <f>344*(100-C$2)/100</f>
        <v>395.6</v>
      </c>
      <c r="C44" s="35">
        <f>392*(100-C$2)/100</f>
        <v>450.8</v>
      </c>
    </row>
    <row r="45" spans="1:3" x14ac:dyDescent="0.25">
      <c r="A45" s="18" t="s">
        <v>212</v>
      </c>
      <c r="B45" s="35">
        <f>388*(100-C$2)/100</f>
        <v>446.2</v>
      </c>
      <c r="C45" s="35">
        <f>443*(100-C$2)/100</f>
        <v>509.45</v>
      </c>
    </row>
    <row r="46" spans="1:3" x14ac:dyDescent="0.25">
      <c r="A46" s="18" t="s">
        <v>213</v>
      </c>
      <c r="B46" s="35">
        <f>431*(100-C$2)/100</f>
        <v>495.65</v>
      </c>
      <c r="C46" s="35">
        <f>494*(100-C$2)/100</f>
        <v>568.1</v>
      </c>
    </row>
    <row r="47" spans="1:3" x14ac:dyDescent="0.25">
      <c r="A47" s="18" t="s">
        <v>214</v>
      </c>
      <c r="B47" s="35">
        <f>525*(100-C$2)/100</f>
        <v>603.75</v>
      </c>
      <c r="C47" s="35">
        <f>607*(100-C$2)/100</f>
        <v>698.05</v>
      </c>
    </row>
    <row r="48" spans="1:3" x14ac:dyDescent="0.25">
      <c r="A48" s="18" t="s">
        <v>215</v>
      </c>
      <c r="B48" s="35">
        <f>580*(100-C$2)/100</f>
        <v>667</v>
      </c>
      <c r="C48" s="35">
        <f>674*(100-C$2)/100</f>
        <v>775.1</v>
      </c>
    </row>
  </sheetData>
  <sheetProtection algorithmName="SHA-512" hashValue="Pmgc+GUhQYibL5QqZC8L5XDMJQQASH426PkKwum9D0SjdXXD0o/uPEqAVVqiVjSKIcAf4bKGzKA7q2SPPEoeTg==" saltValue="XzneDhQtRHlBsZhIrUrFWg==" spinCount="100000" sheet="1" objects="1" scenarios="1"/>
  <mergeCells count="5">
    <mergeCell ref="E6:F6"/>
    <mergeCell ref="B4:C4"/>
    <mergeCell ref="A1:B1"/>
    <mergeCell ref="C1:D1"/>
    <mergeCell ref="B3:C3"/>
  </mergeCells>
  <hyperlinks>
    <hyperlink ref="E6:F6" location="ГЛАВНАЯ!A1" display="оглавление&gt;&gt;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ГЛАВНАЯ</vt:lpstr>
      <vt:lpstr>ЛП лоток перф</vt:lpstr>
      <vt:lpstr>ЛГ лоток глухой</vt:lpstr>
      <vt:lpstr>КЛ Крышка лотка</vt:lpstr>
      <vt:lpstr>Полки,Стойки</vt:lpstr>
      <vt:lpstr>Профиль</vt:lpstr>
      <vt:lpstr>Аксессуары</vt:lpstr>
      <vt:lpstr>Проволчный лоток</vt:lpstr>
      <vt:lpstr>НЛ Лестничный лоток</vt:lpstr>
      <vt:lpstr>Системы подвеса</vt:lpstr>
      <vt:lpstr>Крепеж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2018-03-21T07:01:32Z</dcterms:modified>
  <cp:contentStatus/>
</cp:coreProperties>
</file>